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https://pihealthcare.sharepoint.com/Shared Documents/Projects/Active/Bristol Myers Squibb/BMS Neuroscience/Meetings/Final Feedback/Mapping Deliverable/"/>
    </mc:Choice>
  </mc:AlternateContent>
  <xr:revisionPtr revIDLastSave="3" documentId="11_B7261D5442DD4505ECD1E947450F412F87287A33" xr6:coauthVersionLast="47" xr6:coauthVersionMax="47" xr10:uidLastSave="{BB5104AE-A4DC-4E50-9ACB-9C4DF139EDEB}"/>
  <bookViews>
    <workbookView minimized="1" xWindow="32115" yWindow="3315" windowWidth="17280" windowHeight="8880" tabRatio="918" activeTab="4" xr2:uid="{00000000-000D-0000-FFFF-FFFF00000000}"/>
  </bookViews>
  <sheets>
    <sheet name="Publications" sheetId="35" r:id="rId1"/>
    <sheet name="Journals" sheetId="18" r:id="rId2"/>
    <sheet name="Clinical Trials" sheetId="39" r:id="rId3"/>
    <sheet name="Congresses" sheetId="40" r:id="rId4"/>
    <sheet name="Guidelines" sheetId="5" r:id="rId5"/>
    <sheet name="Patient Organizations" sheetId="2" r:id="rId6"/>
    <sheet name="Professional Organizations" sheetId="3" r:id="rId7"/>
    <sheet name="Payor Drug Evaluation Groups" sheetId="8" r:id="rId8"/>
    <sheet name="Regulatory Agencies" sheetId="7" r:id="rId9"/>
    <sheet name="Center of Excellence" sheetId="41" r:id="rId10"/>
    <sheet name="Private Clinics" sheetId="42" r:id="rId11"/>
  </sheets>
  <definedNames>
    <definedName name="_xlnm._FilterDatabase" localSheetId="9" hidden="1">'Center of Excellence'!$A$4:$G$68</definedName>
    <definedName name="_xlnm._FilterDatabase" localSheetId="2" hidden="1">'Clinical Trials'!$A$4:$H$975</definedName>
    <definedName name="_xlnm._FilterDatabase" localSheetId="3" hidden="1">Congresses!$A$4:$J$580</definedName>
    <definedName name="_xlnm._FilterDatabase" localSheetId="4" hidden="1">Guidelines!$A$4:$J$95</definedName>
    <definedName name="_xlnm._FilterDatabase" localSheetId="1" hidden="1">Journals!$A$4:$G$292</definedName>
    <definedName name="_xlnm._FilterDatabase" localSheetId="5" hidden="1">'Patient Organizations'!$A$4:$J$4</definedName>
    <definedName name="_xlnm._FilterDatabase" localSheetId="7" hidden="1">'Payor Drug Evaluation Groups'!$A$4:$I$35</definedName>
    <definedName name="_xlnm._FilterDatabase" localSheetId="10" hidden="1">'Private Clinics'!$A$4:$G$124</definedName>
    <definedName name="_xlnm._FilterDatabase" localSheetId="6" hidden="1">'Professional Organizations'!$A$4:$I$4</definedName>
    <definedName name="_xlnm._FilterDatabase" localSheetId="0" hidden="1">Publications!$A$6:$F$96</definedName>
    <definedName name="_xlnm._FilterDatabase" localSheetId="8" hidden="1">'Regulatory Agencies'!$A$4:$I$61</definedName>
    <definedName name="Z_2D811C32_FD73_4975_B2DF_EE3D43CC76F3_.wvu.FilterData" localSheetId="2" hidden="1">'Clinical Trials'!$A$1:$H$4</definedName>
  </definedNames>
  <calcPr calcId="191029"/>
  <customWorkbookViews>
    <customWorkbookView name="Filter 1" guid="{2D811C32-FD73-4975-B2DF-EE3D43CC76F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6" i="40" l="1"/>
  <c r="B117" i="40"/>
  <c r="B406" i="40"/>
  <c r="B405" i="40"/>
  <c r="B453" i="40"/>
  <c r="B373" i="40" l="1"/>
  <c r="B124" i="42" l="1"/>
  <c r="B123" i="42"/>
  <c r="B122" i="42"/>
  <c r="B121" i="42"/>
  <c r="B120" i="42"/>
  <c r="B119" i="42"/>
  <c r="B118" i="42"/>
  <c r="B117" i="42"/>
  <c r="B116" i="42"/>
  <c r="B115" i="42"/>
  <c r="B114" i="42"/>
  <c r="B113" i="42"/>
  <c r="B112" i="42"/>
  <c r="B111" i="42"/>
  <c r="B110" i="42"/>
  <c r="B109" i="42"/>
  <c r="B108" i="42"/>
  <c r="B107" i="42"/>
  <c r="B106" i="42"/>
  <c r="B105" i="42"/>
  <c r="B104" i="42"/>
  <c r="B103" i="42"/>
  <c r="B102" i="42"/>
  <c r="B101" i="42"/>
  <c r="B100" i="42"/>
  <c r="B99" i="42"/>
  <c r="B98" i="42"/>
  <c r="B97" i="42"/>
  <c r="B96" i="42"/>
  <c r="B95" i="42"/>
  <c r="B94" i="42"/>
  <c r="B93" i="42"/>
  <c r="B92" i="42"/>
  <c r="B91" i="42"/>
  <c r="B90" i="42"/>
  <c r="B89" i="42"/>
  <c r="B88" i="42"/>
  <c r="B87" i="42"/>
  <c r="B86" i="42"/>
  <c r="B85" i="42"/>
  <c r="B84" i="42"/>
  <c r="B83" i="42"/>
  <c r="B82" i="42"/>
  <c r="B81" i="42"/>
  <c r="B80" i="42"/>
  <c r="B79" i="42"/>
  <c r="B78" i="42"/>
  <c r="B77" i="42"/>
  <c r="B76" i="42"/>
  <c r="B75" i="42"/>
  <c r="B74" i="42"/>
  <c r="B73" i="42"/>
  <c r="B72" i="42"/>
  <c r="B71" i="42"/>
  <c r="B70" i="42"/>
  <c r="B69" i="42"/>
  <c r="B68" i="42"/>
  <c r="B67" i="42"/>
  <c r="B66" i="42"/>
  <c r="B65" i="42"/>
  <c r="B64" i="42"/>
  <c r="B63" i="42"/>
  <c r="B62" i="42"/>
  <c r="B61" i="42"/>
  <c r="B60" i="42"/>
  <c r="B59" i="42"/>
  <c r="B58" i="42"/>
  <c r="B57" i="42"/>
  <c r="B56" i="42"/>
  <c r="B55" i="42"/>
  <c r="B54" i="42"/>
  <c r="B53" i="42"/>
  <c r="B52" i="42"/>
  <c r="B51" i="42"/>
  <c r="B50" i="42"/>
  <c r="B49" i="42"/>
  <c r="B48" i="42"/>
  <c r="B47" i="42"/>
  <c r="B46" i="42"/>
  <c r="B45" i="42"/>
  <c r="B44" i="42"/>
  <c r="B43" i="42"/>
  <c r="B42" i="42"/>
  <c r="B41" i="42"/>
  <c r="B40" i="42"/>
  <c r="B39" i="42"/>
  <c r="B38" i="42"/>
  <c r="B37" i="42"/>
  <c r="B36" i="42"/>
  <c r="B35" i="42"/>
  <c r="B34" i="42"/>
  <c r="B33" i="42"/>
  <c r="B32" i="42"/>
  <c r="B31" i="42"/>
  <c r="B30" i="42"/>
  <c r="B29" i="42"/>
  <c r="B28" i="42"/>
  <c r="B27" i="42"/>
  <c r="B26" i="42"/>
  <c r="B25" i="42"/>
  <c r="B24" i="42"/>
  <c r="B23" i="42"/>
  <c r="B22" i="42"/>
  <c r="B21" i="42"/>
  <c r="B20" i="42"/>
  <c r="B19" i="42"/>
  <c r="B18" i="42"/>
  <c r="B17" i="42"/>
  <c r="B16" i="42"/>
  <c r="B15" i="42"/>
  <c r="B14" i="42"/>
  <c r="B13" i="42"/>
  <c r="B12" i="42"/>
  <c r="B11" i="42"/>
  <c r="B10" i="42"/>
  <c r="B9" i="42"/>
  <c r="B8" i="42"/>
  <c r="B7" i="42"/>
  <c r="B6" i="42"/>
  <c r="B5" i="42"/>
  <c r="B68" i="41"/>
  <c r="B67" i="41"/>
  <c r="B66" i="41"/>
  <c r="B65" i="41"/>
  <c r="B64" i="41"/>
  <c r="B63" i="41"/>
  <c r="B62" i="41"/>
  <c r="B61" i="41"/>
  <c r="B60" i="41"/>
  <c r="B59" i="41"/>
  <c r="B58" i="41"/>
  <c r="B57" i="41"/>
  <c r="B56" i="41"/>
  <c r="B55" i="41"/>
  <c r="B54" i="41"/>
  <c r="B53" i="41"/>
  <c r="B52" i="41"/>
  <c r="B51" i="41"/>
  <c r="B50" i="41"/>
  <c r="B49" i="41"/>
  <c r="B48" i="41"/>
  <c r="B47" i="41"/>
  <c r="B46" i="41"/>
  <c r="B45" i="41"/>
  <c r="B44" i="41"/>
  <c r="B43" i="41"/>
  <c r="B42" i="41"/>
  <c r="B41" i="41"/>
  <c r="B40"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2" i="41"/>
  <c r="B11" i="41"/>
  <c r="B10" i="41"/>
  <c r="B9" i="41"/>
  <c r="B8" i="41"/>
  <c r="B7" i="41"/>
  <c r="B6" i="41"/>
  <c r="B5" i="41"/>
  <c r="B380" i="40" l="1"/>
  <c r="B241" i="18" l="1"/>
  <c r="B236" i="40" l="1"/>
  <c r="B279" i="40"/>
  <c r="B168" i="40"/>
  <c r="B167" i="40"/>
  <c r="B58" i="40"/>
  <c r="B137" i="40"/>
  <c r="B378" i="40"/>
  <c r="B377" i="40"/>
  <c r="B375" i="40"/>
  <c r="B160" i="40"/>
  <c r="B161" i="40"/>
  <c r="B83" i="5"/>
  <c r="B346" i="40"/>
  <c r="B35" i="18"/>
  <c r="B176" i="18"/>
  <c r="B14" i="18" l="1"/>
  <c r="B7" i="7" l="1"/>
  <c r="B39" i="7"/>
  <c r="B199" i="3" l="1"/>
  <c r="B93" i="18"/>
  <c r="B266" i="18"/>
  <c r="B281" i="18"/>
  <c r="B286" i="18"/>
  <c r="B285" i="18"/>
  <c r="B275" i="18"/>
  <c r="B274" i="18"/>
  <c r="B273" i="18"/>
  <c r="B269" i="18"/>
  <c r="B265" i="18"/>
  <c r="B263" i="18"/>
  <c r="B255" i="18"/>
  <c r="B250" i="18"/>
  <c r="B248" i="18"/>
  <c r="B247" i="18"/>
  <c r="B222" i="18"/>
  <c r="B221" i="18"/>
  <c r="B217" i="18"/>
  <c r="B207" i="18"/>
  <c r="B178" i="18"/>
  <c r="B134" i="18"/>
  <c r="B128" i="18"/>
  <c r="B123" i="18"/>
  <c r="B113" i="18"/>
  <c r="B111" i="18"/>
  <c r="B110" i="18"/>
  <c r="B85" i="18"/>
  <c r="B80" i="18"/>
  <c r="B73" i="18"/>
  <c r="B67" i="18"/>
  <c r="B66" i="18"/>
  <c r="B58" i="18"/>
  <c r="B51" i="18"/>
  <c r="B28" i="18"/>
  <c r="B288" i="18"/>
  <c r="B23" i="8" l="1"/>
  <c r="B134" i="40" l="1"/>
  <c r="B44" i="40"/>
  <c r="B520" i="40"/>
  <c r="B519" i="40"/>
  <c r="B517" i="40"/>
  <c r="B516" i="40"/>
  <c r="B518" i="40"/>
  <c r="B580" i="40" l="1"/>
  <c r="B579" i="40"/>
  <c r="B578" i="40"/>
  <c r="B577" i="40"/>
  <c r="B576" i="40"/>
  <c r="B575" i="40"/>
  <c r="B574" i="40"/>
  <c r="B573" i="40"/>
  <c r="B572" i="40"/>
  <c r="B571" i="40"/>
  <c r="B570" i="40"/>
  <c r="B569" i="40"/>
  <c r="B568" i="40"/>
  <c r="B567" i="40"/>
  <c r="B566" i="40"/>
  <c r="B141" i="40"/>
  <c r="B140" i="40"/>
  <c r="B139" i="40"/>
  <c r="B138" i="40"/>
  <c r="B565" i="40"/>
  <c r="B210" i="40"/>
  <c r="B563" i="40"/>
  <c r="B209" i="40"/>
  <c r="B564" i="40"/>
  <c r="B562" i="40"/>
  <c r="B561" i="40"/>
  <c r="B560" i="40"/>
  <c r="B559" i="40"/>
  <c r="B558" i="40"/>
  <c r="B557" i="40"/>
  <c r="B556" i="40"/>
  <c r="B555" i="40"/>
  <c r="B554" i="40"/>
  <c r="B553" i="40"/>
  <c r="B552" i="40"/>
  <c r="B551" i="40"/>
  <c r="B550" i="40"/>
  <c r="B549" i="40"/>
  <c r="B548" i="40"/>
  <c r="B547" i="40"/>
  <c r="B546" i="40"/>
  <c r="B545" i="40"/>
  <c r="B544" i="40"/>
  <c r="B543" i="40"/>
  <c r="B542" i="40"/>
  <c r="B541" i="40"/>
  <c r="B540" i="40"/>
  <c r="B104" i="40"/>
  <c r="B103" i="40"/>
  <c r="B102" i="40"/>
  <c r="B101" i="40"/>
  <c r="B100" i="40"/>
  <c r="B539" i="40"/>
  <c r="B538" i="40"/>
  <c r="B537" i="40"/>
  <c r="B536" i="40"/>
  <c r="B535" i="40"/>
  <c r="B534" i="40"/>
  <c r="B533" i="40"/>
  <c r="B532" i="40"/>
  <c r="B531" i="40"/>
  <c r="B530" i="40"/>
  <c r="B39" i="40"/>
  <c r="B38" i="40"/>
  <c r="B23" i="40"/>
  <c r="B22" i="40"/>
  <c r="B21" i="40"/>
  <c r="B20" i="40"/>
  <c r="B529" i="40"/>
  <c r="B528" i="40"/>
  <c r="B527" i="40"/>
  <c r="B526" i="40"/>
  <c r="B525" i="40"/>
  <c r="B524" i="40"/>
  <c r="B523" i="40"/>
  <c r="B522" i="40"/>
  <c r="B521" i="40"/>
  <c r="B515" i="40"/>
  <c r="B513" i="40"/>
  <c r="B511" i="40"/>
  <c r="B509" i="40"/>
  <c r="B507" i="40"/>
  <c r="B514" i="40"/>
  <c r="B512" i="40"/>
  <c r="B510" i="40"/>
  <c r="B508" i="40"/>
  <c r="B506" i="40"/>
  <c r="B505" i="40"/>
  <c r="B504" i="40"/>
  <c r="B503" i="40"/>
  <c r="B502" i="40"/>
  <c r="B501" i="40"/>
  <c r="B500" i="40"/>
  <c r="B499" i="40"/>
  <c r="B498" i="40"/>
  <c r="B497" i="40"/>
  <c r="B496" i="40"/>
  <c r="B495" i="40"/>
  <c r="B494" i="40"/>
  <c r="B493" i="40"/>
  <c r="B492" i="40"/>
  <c r="B491" i="40"/>
  <c r="B490" i="40"/>
  <c r="B489" i="40"/>
  <c r="B488" i="40"/>
  <c r="B487" i="40"/>
  <c r="B486" i="40"/>
  <c r="B485" i="40"/>
  <c r="B484" i="40"/>
  <c r="B483" i="40"/>
  <c r="B482" i="40"/>
  <c r="B481" i="40"/>
  <c r="B480" i="40"/>
  <c r="B479" i="40"/>
  <c r="B478" i="40"/>
  <c r="B477" i="40"/>
  <c r="B476" i="40"/>
  <c r="B475" i="40"/>
  <c r="B474" i="40"/>
  <c r="B473" i="40"/>
  <c r="B472" i="40"/>
  <c r="B471" i="40"/>
  <c r="B470" i="40"/>
  <c r="B469" i="40"/>
  <c r="B468" i="40"/>
  <c r="B467" i="40"/>
  <c r="B466" i="40"/>
  <c r="B465" i="40"/>
  <c r="B464" i="40"/>
  <c r="B463" i="40"/>
  <c r="B462" i="40"/>
  <c r="B461" i="40"/>
  <c r="B460" i="40"/>
  <c r="B459" i="40"/>
  <c r="B458" i="40"/>
  <c r="B457" i="40"/>
  <c r="B456" i="40"/>
  <c r="B455" i="40"/>
  <c r="B454" i="40"/>
  <c r="B452" i="40"/>
  <c r="B451" i="40"/>
  <c r="B450" i="40"/>
  <c r="B449" i="40"/>
  <c r="B448" i="40"/>
  <c r="B447" i="40"/>
  <c r="B446" i="40"/>
  <c r="B445" i="40"/>
  <c r="B444" i="40"/>
  <c r="B11" i="40"/>
  <c r="B10" i="40"/>
  <c r="B443" i="40"/>
  <c r="B442" i="40"/>
  <c r="B124" i="40"/>
  <c r="B123" i="40"/>
  <c r="B122" i="40"/>
  <c r="B121" i="40"/>
  <c r="B120" i="40"/>
  <c r="B441" i="40"/>
  <c r="B440" i="40"/>
  <c r="B439" i="40"/>
  <c r="B438" i="40"/>
  <c r="B437" i="40"/>
  <c r="B25" i="40"/>
  <c r="B24" i="40"/>
  <c r="B436" i="40"/>
  <c r="B435" i="40"/>
  <c r="B434" i="40"/>
  <c r="B433" i="40"/>
  <c r="B432" i="40"/>
  <c r="B431" i="40"/>
  <c r="B430" i="40"/>
  <c r="B428" i="40"/>
  <c r="B426" i="40"/>
  <c r="B424" i="40"/>
  <c r="B429" i="40"/>
  <c r="B427" i="40"/>
  <c r="B425" i="40"/>
  <c r="B423" i="40"/>
  <c r="B422" i="40"/>
  <c r="B421" i="40"/>
  <c r="B420" i="40"/>
  <c r="B419" i="40"/>
  <c r="B418" i="40"/>
  <c r="B417" i="40"/>
  <c r="B416" i="40"/>
  <c r="B415" i="40"/>
  <c r="B414" i="40"/>
  <c r="B413" i="40"/>
  <c r="B412" i="40"/>
  <c r="B411" i="40"/>
  <c r="B410" i="40"/>
  <c r="B409" i="40"/>
  <c r="B408" i="40"/>
  <c r="B407" i="40"/>
  <c r="B404" i="40"/>
  <c r="B403" i="40"/>
  <c r="B402" i="40"/>
  <c r="B401" i="40"/>
  <c r="B400" i="40"/>
  <c r="B399" i="40"/>
  <c r="B398" i="40"/>
  <c r="B397" i="40"/>
  <c r="B396" i="40"/>
  <c r="B395" i="40"/>
  <c r="B394" i="40"/>
  <c r="B144" i="40"/>
  <c r="B143" i="40"/>
  <c r="B142" i="40"/>
  <c r="B393" i="40"/>
  <c r="B392" i="40"/>
  <c r="B391" i="40"/>
  <c r="B390" i="40"/>
  <c r="B389" i="40"/>
  <c r="B388" i="40"/>
  <c r="B387" i="40"/>
  <c r="B386" i="40"/>
  <c r="B385" i="40"/>
  <c r="B384" i="40"/>
  <c r="B383" i="40"/>
  <c r="B382" i="40"/>
  <c r="B381" i="40"/>
  <c r="B379" i="40"/>
  <c r="B376" i="40"/>
  <c r="B374" i="40"/>
  <c r="B372" i="40"/>
  <c r="B371" i="40"/>
  <c r="B370" i="40"/>
  <c r="B369" i="40"/>
  <c r="B368" i="40"/>
  <c r="B367" i="40"/>
  <c r="B366" i="40"/>
  <c r="B365" i="40"/>
  <c r="B364" i="40"/>
  <c r="B363" i="40"/>
  <c r="B362" i="40"/>
  <c r="B361" i="40"/>
  <c r="B360" i="40"/>
  <c r="B359" i="40"/>
  <c r="B358" i="40"/>
  <c r="B357" i="40"/>
  <c r="B356" i="40"/>
  <c r="B355" i="40"/>
  <c r="B354" i="40"/>
  <c r="B353" i="40"/>
  <c r="B352" i="40"/>
  <c r="B351" i="40"/>
  <c r="B350" i="40"/>
  <c r="B349" i="40"/>
  <c r="B348" i="40"/>
  <c r="B347" i="40"/>
  <c r="B345" i="40"/>
  <c r="B344" i="40"/>
  <c r="B343" i="40"/>
  <c r="B342" i="40"/>
  <c r="B341" i="40"/>
  <c r="B340" i="40"/>
  <c r="B339" i="40"/>
  <c r="B338" i="40"/>
  <c r="B337" i="40"/>
  <c r="B336" i="40"/>
  <c r="B335" i="40"/>
  <c r="B334" i="40"/>
  <c r="B333" i="40"/>
  <c r="B332" i="40"/>
  <c r="B331" i="40"/>
  <c r="B330" i="40"/>
  <c r="B329" i="40"/>
  <c r="B328" i="40"/>
  <c r="B327" i="40"/>
  <c r="B326" i="40"/>
  <c r="B325" i="40"/>
  <c r="B324" i="40"/>
  <c r="B323" i="40"/>
  <c r="B322" i="40"/>
  <c r="B321" i="40"/>
  <c r="B320" i="40"/>
  <c r="B319" i="40"/>
  <c r="B318" i="40"/>
  <c r="B317" i="40"/>
  <c r="B316" i="40"/>
  <c r="B315" i="40"/>
  <c r="B314" i="40"/>
  <c r="B313" i="40"/>
  <c r="B312" i="40"/>
  <c r="B311" i="40"/>
  <c r="B310" i="40"/>
  <c r="B309" i="40"/>
  <c r="B308" i="40"/>
  <c r="B307" i="40"/>
  <c r="B306" i="40"/>
  <c r="B305" i="40"/>
  <c r="B304" i="40"/>
  <c r="B303" i="40"/>
  <c r="B300" i="40"/>
  <c r="B297" i="40"/>
  <c r="B294" i="40"/>
  <c r="B291" i="40"/>
  <c r="B302" i="40"/>
  <c r="B299" i="40"/>
  <c r="B296" i="40"/>
  <c r="B293" i="40"/>
  <c r="B290" i="40"/>
  <c r="B301" i="40"/>
  <c r="B298" i="40"/>
  <c r="B295" i="40"/>
  <c r="B292" i="40"/>
  <c r="B289" i="40"/>
  <c r="B288" i="40"/>
  <c r="B287" i="40"/>
  <c r="B286" i="40"/>
  <c r="B285" i="40"/>
  <c r="B284" i="40"/>
  <c r="B283" i="40"/>
  <c r="B282" i="40"/>
  <c r="B281" i="40"/>
  <c r="B280" i="40"/>
  <c r="B278" i="40"/>
  <c r="B277" i="40"/>
  <c r="B276" i="40"/>
  <c r="B275" i="40"/>
  <c r="B274" i="40"/>
  <c r="B273" i="40"/>
  <c r="B272" i="40"/>
  <c r="B271" i="40"/>
  <c r="B270" i="40"/>
  <c r="B269" i="40"/>
  <c r="B37" i="40"/>
  <c r="B36" i="40"/>
  <c r="B268" i="40"/>
  <c r="B265" i="40"/>
  <c r="B267" i="40"/>
  <c r="B266" i="40"/>
  <c r="B264" i="40"/>
  <c r="B263" i="40"/>
  <c r="B262" i="40"/>
  <c r="B261" i="40"/>
  <c r="B260" i="40"/>
  <c r="B259" i="40"/>
  <c r="B258" i="40"/>
  <c r="B257" i="40"/>
  <c r="B256" i="40"/>
  <c r="B255" i="40"/>
  <c r="B254" i="40"/>
  <c r="B253" i="40"/>
  <c r="B252" i="40"/>
  <c r="B251" i="40"/>
  <c r="B250" i="40"/>
  <c r="B249" i="40"/>
  <c r="B248" i="40"/>
  <c r="B247" i="40"/>
  <c r="B246" i="40"/>
  <c r="B245" i="40"/>
  <c r="B244" i="40"/>
  <c r="B243" i="40"/>
  <c r="B242" i="40"/>
  <c r="B241" i="40"/>
  <c r="B240" i="40"/>
  <c r="B239" i="40"/>
  <c r="B238" i="40"/>
  <c r="B237" i="40"/>
  <c r="B235" i="40"/>
  <c r="B234" i="40"/>
  <c r="B233" i="40"/>
  <c r="B232" i="40"/>
  <c r="B231" i="40"/>
  <c r="B230" i="40"/>
  <c r="B229" i="40"/>
  <c r="B228" i="40"/>
  <c r="B227" i="40"/>
  <c r="B226" i="40"/>
  <c r="B225" i="40"/>
  <c r="B224" i="40"/>
  <c r="B223" i="40"/>
  <c r="B222" i="40"/>
  <c r="B221" i="40"/>
  <c r="B220" i="40"/>
  <c r="B219" i="40"/>
  <c r="B218" i="40"/>
  <c r="B217" i="40"/>
  <c r="B216" i="40"/>
  <c r="B215" i="40"/>
  <c r="B214" i="40"/>
  <c r="B213" i="40"/>
  <c r="B212" i="40"/>
  <c r="B211" i="40"/>
  <c r="B57" i="40"/>
  <c r="B208" i="40"/>
  <c r="B207" i="40"/>
  <c r="B206" i="40"/>
  <c r="B205" i="40"/>
  <c r="B204" i="40"/>
  <c r="B203" i="40"/>
  <c r="B202" i="40"/>
  <c r="B201" i="40"/>
  <c r="B200" i="40"/>
  <c r="B199" i="40"/>
  <c r="B198" i="40"/>
  <c r="B197" i="40"/>
  <c r="B196" i="40"/>
  <c r="B195" i="40"/>
  <c r="B194" i="40"/>
  <c r="B193" i="40"/>
  <c r="B192" i="40"/>
  <c r="B191" i="40"/>
  <c r="B190" i="40"/>
  <c r="B189" i="40"/>
  <c r="B188" i="40"/>
  <c r="B187" i="40"/>
  <c r="B186" i="40"/>
  <c r="B185" i="40"/>
  <c r="B184" i="40"/>
  <c r="B183" i="40"/>
  <c r="B182" i="40"/>
  <c r="B181" i="40"/>
  <c r="B180" i="40"/>
  <c r="B179" i="40"/>
  <c r="B178" i="40"/>
  <c r="B177" i="40"/>
  <c r="B176" i="40"/>
  <c r="B175" i="40"/>
  <c r="B174" i="40"/>
  <c r="B171" i="40"/>
  <c r="B170" i="40"/>
  <c r="B169" i="40"/>
  <c r="B166" i="40"/>
  <c r="B165" i="40"/>
  <c r="B164" i="40"/>
  <c r="B163" i="40"/>
  <c r="B162" i="40"/>
  <c r="B14" i="40"/>
  <c r="B13" i="40"/>
  <c r="B12" i="40"/>
  <c r="B159" i="40"/>
  <c r="B158" i="40"/>
  <c r="B157" i="40"/>
  <c r="B156" i="40"/>
  <c r="B155" i="40"/>
  <c r="B154" i="40"/>
  <c r="B153" i="40"/>
  <c r="B152" i="40"/>
  <c r="B151" i="40"/>
  <c r="B150" i="40"/>
  <c r="B149" i="40"/>
  <c r="B148" i="40"/>
  <c r="B147" i="40"/>
  <c r="B146" i="40"/>
  <c r="B145" i="40"/>
  <c r="B136" i="40"/>
  <c r="B135" i="40"/>
  <c r="B133" i="40"/>
  <c r="B132" i="40"/>
  <c r="B131" i="40"/>
  <c r="B130" i="40"/>
  <c r="B129" i="40"/>
  <c r="B128" i="40"/>
  <c r="B127" i="40"/>
  <c r="B126" i="40"/>
  <c r="B125" i="40"/>
  <c r="B119" i="40"/>
  <c r="B118" i="40"/>
  <c r="B115" i="40"/>
  <c r="B114" i="40"/>
  <c r="B113" i="40"/>
  <c r="B112" i="40"/>
  <c r="B111" i="40"/>
  <c r="B110" i="40"/>
  <c r="B109" i="40"/>
  <c r="B108" i="40"/>
  <c r="B107" i="40"/>
  <c r="B106" i="40"/>
  <c r="B105" i="40"/>
  <c r="B99" i="40"/>
  <c r="B98" i="40"/>
  <c r="B97" i="40"/>
  <c r="B96" i="40"/>
  <c r="B95" i="40"/>
  <c r="B94" i="40"/>
  <c r="B93" i="40"/>
  <c r="B92" i="40"/>
  <c r="B91" i="40"/>
  <c r="B90" i="40"/>
  <c r="B89" i="40"/>
  <c r="B88" i="40"/>
  <c r="B87" i="40"/>
  <c r="B86" i="40"/>
  <c r="B85" i="40"/>
  <c r="B84" i="40"/>
  <c r="B83" i="40"/>
  <c r="B82" i="40"/>
  <c r="B80" i="40"/>
  <c r="B78" i="40"/>
  <c r="B76" i="40"/>
  <c r="B81" i="40"/>
  <c r="B79" i="40"/>
  <c r="B77" i="40"/>
  <c r="B75" i="40"/>
  <c r="B74" i="40"/>
  <c r="B73" i="40"/>
  <c r="B72" i="40"/>
  <c r="B71" i="40"/>
  <c r="B70" i="40"/>
  <c r="B69" i="40"/>
  <c r="B68" i="40"/>
  <c r="B67" i="40"/>
  <c r="B66" i="40"/>
  <c r="B65" i="40"/>
  <c r="B64" i="40"/>
  <c r="B63" i="40"/>
  <c r="B62" i="40"/>
  <c r="B61" i="40"/>
  <c r="B60" i="40"/>
  <c r="B59" i="40"/>
  <c r="B56" i="40"/>
  <c r="B55" i="40"/>
  <c r="B54" i="40"/>
  <c r="B53" i="40"/>
  <c r="B52" i="40"/>
  <c r="B51" i="40"/>
  <c r="B50" i="40"/>
  <c r="B49" i="40"/>
  <c r="B48" i="40"/>
  <c r="B47" i="40"/>
  <c r="B46" i="40"/>
  <c r="B45" i="40"/>
  <c r="B43" i="40"/>
  <c r="B42" i="40"/>
  <c r="B41" i="40"/>
  <c r="B40" i="40"/>
  <c r="B173" i="40"/>
  <c r="B172" i="40"/>
  <c r="B35" i="40"/>
  <c r="B34" i="40"/>
  <c r="B33" i="40"/>
  <c r="B32" i="40"/>
  <c r="B31" i="40"/>
  <c r="B30" i="40"/>
  <c r="B29" i="40"/>
  <c r="B28" i="40"/>
  <c r="B27" i="40"/>
  <c r="B26" i="40"/>
  <c r="B19" i="40"/>
  <c r="B18" i="40"/>
  <c r="B17" i="40"/>
  <c r="B16" i="40"/>
  <c r="B15" i="40"/>
  <c r="B9" i="40"/>
  <c r="B8" i="40"/>
  <c r="B7" i="40"/>
  <c r="B6" i="40"/>
  <c r="B5" i="40"/>
  <c r="B73" i="3" l="1"/>
  <c r="B15" i="8" l="1"/>
  <c r="B8" i="7"/>
  <c r="B47" i="7"/>
  <c r="B46" i="7"/>
  <c r="B7" i="8"/>
  <c r="B53" i="5"/>
  <c r="B92" i="3" l="1"/>
  <c r="B206" i="3" l="1"/>
  <c r="B84" i="3"/>
  <c r="B103" i="3"/>
  <c r="B107" i="3"/>
  <c r="B96" i="3"/>
  <c r="B72" i="3"/>
  <c r="B69" i="3" l="1"/>
  <c r="B5" i="2"/>
  <c r="B88" i="2"/>
  <c r="B89" i="2"/>
  <c r="B66" i="2"/>
  <c r="B65" i="2"/>
  <c r="B12" i="2"/>
  <c r="B23" i="2"/>
  <c r="B9" i="2"/>
  <c r="B41" i="2"/>
  <c r="B43" i="2"/>
  <c r="B55" i="2"/>
  <c r="B63" i="2"/>
  <c r="B58" i="2"/>
  <c r="B42" i="2"/>
  <c r="B7" i="2"/>
  <c r="B86" i="2"/>
  <c r="B91" i="2"/>
  <c r="B103" i="2"/>
  <c r="B93" i="2"/>
  <c r="B94" i="2"/>
  <c r="B104" i="2"/>
  <c r="B60" i="2"/>
  <c r="B61" i="2"/>
  <c r="B36" i="2"/>
  <c r="B26" i="2"/>
  <c r="B21" i="2"/>
  <c r="B20" i="2"/>
  <c r="B48" i="2"/>
  <c r="B49" i="2"/>
  <c r="B45" i="2"/>
  <c r="B52" i="2"/>
  <c r="B54" i="2"/>
  <c r="B40" i="2"/>
  <c r="B38" i="2"/>
  <c r="B87" i="2"/>
  <c r="B6" i="2"/>
  <c r="B8" i="2"/>
  <c r="B10" i="2"/>
  <c r="B14" i="2"/>
  <c r="B24" i="2"/>
  <c r="B56" i="2"/>
  <c r="B69" i="2"/>
  <c r="B96" i="2"/>
  <c r="B59" i="2"/>
  <c r="B37" i="2"/>
  <c r="B68" i="2"/>
  <c r="B92" i="2"/>
  <c r="B27" i="3"/>
  <c r="B66" i="3"/>
  <c r="B16" i="3"/>
  <c r="B74" i="3"/>
  <c r="B75" i="3"/>
  <c r="B71" i="3"/>
  <c r="B56" i="3"/>
  <c r="B83" i="3"/>
  <c r="B87" i="3"/>
  <c r="B95" i="3"/>
  <c r="B94" i="3"/>
  <c r="B101" i="3"/>
  <c r="B105" i="3"/>
  <c r="B110" i="3"/>
  <c r="B109" i="3"/>
  <c r="B143" i="3"/>
  <c r="B139" i="3"/>
  <c r="B138" i="3"/>
  <c r="B148" i="3"/>
  <c r="B152" i="3"/>
  <c r="B175" i="3"/>
  <c r="B194" i="3"/>
  <c r="B193" i="3"/>
  <c r="B191" i="3"/>
  <c r="B162" i="3"/>
  <c r="B160" i="3"/>
  <c r="B5" i="3"/>
  <c r="B163" i="3"/>
  <c r="B89" i="3"/>
  <c r="B33" i="3"/>
  <c r="B60" i="3"/>
  <c r="B46" i="3"/>
  <c r="B161" i="3"/>
  <c r="B5" i="18"/>
  <c r="B75" i="18"/>
  <c r="B100" i="18"/>
  <c r="B291" i="18"/>
  <c r="B29" i="18"/>
  <c r="B42" i="18"/>
  <c r="B129" i="18"/>
  <c r="B244" i="18"/>
  <c r="B166" i="18"/>
  <c r="B205" i="18"/>
  <c r="B44" i="18"/>
  <c r="B92" i="18"/>
  <c r="B50" i="18"/>
  <c r="B284" i="18"/>
  <c r="B292" i="18"/>
  <c r="B279" i="18"/>
  <c r="B253" i="18"/>
  <c r="B272" i="18"/>
  <c r="B198" i="18"/>
  <c r="B120" i="18"/>
  <c r="B125" i="18"/>
  <c r="B199" i="18"/>
  <c r="B251" i="18"/>
  <c r="B283" i="18"/>
  <c r="B262" i="18"/>
  <c r="B115" i="18"/>
  <c r="B233" i="18"/>
  <c r="B147" i="18"/>
  <c r="B219" i="18"/>
  <c r="B122" i="18"/>
  <c r="B259" i="18"/>
  <c r="B188" i="18"/>
  <c r="B280" i="18"/>
  <c r="B290" i="18"/>
  <c r="B287" i="18"/>
  <c r="B289" i="18"/>
  <c r="B271" i="18"/>
  <c r="B282" i="18"/>
  <c r="B11" i="5" l="1"/>
  <c r="B10" i="5"/>
  <c r="B21" i="5"/>
  <c r="B84" i="5"/>
  <c r="B55" i="7"/>
  <c r="B18" i="8"/>
  <c r="B7" i="3" l="1"/>
  <c r="B28" i="3"/>
  <c r="B32" i="8" l="1"/>
  <c r="B5" i="7" l="1"/>
  <c r="B6"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40" i="7"/>
  <c r="B41" i="7"/>
  <c r="B42" i="7"/>
  <c r="B43" i="7"/>
  <c r="B44" i="7"/>
  <c r="B45" i="7"/>
  <c r="B48" i="7"/>
  <c r="B49" i="7"/>
  <c r="B50" i="7"/>
  <c r="B51" i="7"/>
  <c r="B52" i="7"/>
  <c r="B53" i="7"/>
  <c r="B54" i="7"/>
  <c r="B56" i="7"/>
  <c r="B57" i="7"/>
  <c r="B58" i="7"/>
  <c r="B59" i="7"/>
  <c r="B60" i="7"/>
  <c r="B61" i="7"/>
  <c r="B5" i="8"/>
  <c r="B6" i="8"/>
  <c r="B8" i="8"/>
  <c r="B9" i="8"/>
  <c r="B10" i="8"/>
  <c r="B11" i="8"/>
  <c r="B12" i="8"/>
  <c r="B13" i="8"/>
  <c r="B14" i="8"/>
  <c r="B16" i="8"/>
  <c r="B17" i="8"/>
  <c r="B19" i="8"/>
  <c r="B20" i="8"/>
  <c r="B21" i="8"/>
  <c r="B22" i="8"/>
  <c r="B24" i="8"/>
  <c r="B25" i="8"/>
  <c r="B26" i="8"/>
  <c r="B27" i="8"/>
  <c r="B28" i="8"/>
  <c r="B29" i="8"/>
  <c r="B30" i="8"/>
  <c r="B31" i="8"/>
  <c r="B33" i="8"/>
  <c r="B34" i="8"/>
  <c r="B35" i="8"/>
  <c r="B6" i="3"/>
  <c r="B8" i="3"/>
  <c r="B9" i="3"/>
  <c r="B10" i="3"/>
  <c r="B11" i="3"/>
  <c r="B12" i="3"/>
  <c r="B13" i="3"/>
  <c r="B14" i="3"/>
  <c r="B15" i="3"/>
  <c r="B17" i="3"/>
  <c r="B18" i="3"/>
  <c r="B19" i="3"/>
  <c r="B20" i="3"/>
  <c r="B21" i="3"/>
  <c r="B22" i="3"/>
  <c r="B23" i="3"/>
  <c r="B24" i="3"/>
  <c r="B25" i="3"/>
  <c r="B26" i="3"/>
  <c r="B29" i="3"/>
  <c r="B30" i="3"/>
  <c r="B31" i="3"/>
  <c r="B32" i="3"/>
  <c r="B34" i="3"/>
  <c r="B35" i="3"/>
  <c r="B36" i="3"/>
  <c r="B37" i="3"/>
  <c r="B38" i="3"/>
  <c r="B39" i="3"/>
  <c r="B40" i="3"/>
  <c r="B41" i="3"/>
  <c r="B42" i="3"/>
  <c r="B43" i="3"/>
  <c r="B44" i="3"/>
  <c r="B45" i="3"/>
  <c r="B47" i="3"/>
  <c r="B48" i="3"/>
  <c r="B49" i="3"/>
  <c r="B50" i="3"/>
  <c r="B51" i="3"/>
  <c r="B52" i="3"/>
  <c r="B53" i="3"/>
  <c r="B54" i="3"/>
  <c r="B55" i="3"/>
  <c r="B57" i="3"/>
  <c r="B58" i="3"/>
  <c r="B59" i="3"/>
  <c r="B61" i="3"/>
  <c r="B62" i="3"/>
  <c r="B63" i="3"/>
  <c r="B64" i="3"/>
  <c r="B65" i="3"/>
  <c r="B67" i="3"/>
  <c r="B68" i="3"/>
  <c r="B70" i="3"/>
  <c r="B76" i="3"/>
  <c r="B77" i="3"/>
  <c r="B78" i="3"/>
  <c r="B79" i="3"/>
  <c r="B80" i="3"/>
  <c r="B81" i="3"/>
  <c r="B82" i="3"/>
  <c r="B85" i="3"/>
  <c r="B86" i="3"/>
  <c r="B88" i="3"/>
  <c r="B90" i="3"/>
  <c r="B91" i="3"/>
  <c r="B93" i="3"/>
  <c r="B97" i="3"/>
  <c r="B98" i="3"/>
  <c r="B99" i="3"/>
  <c r="B100" i="3"/>
  <c r="B102" i="3"/>
  <c r="B104" i="3"/>
  <c r="B106" i="3"/>
  <c r="B108"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40" i="3"/>
  <c r="B141" i="3"/>
  <c r="B142" i="3"/>
  <c r="B144" i="3"/>
  <c r="B145" i="3"/>
  <c r="B146" i="3"/>
  <c r="B147" i="3"/>
  <c r="B149" i="3"/>
  <c r="B150" i="3"/>
  <c r="B151" i="3"/>
  <c r="B153" i="3"/>
  <c r="B154" i="3"/>
  <c r="B155" i="3"/>
  <c r="B156" i="3"/>
  <c r="B157" i="3"/>
  <c r="B158" i="3"/>
  <c r="B159" i="3"/>
  <c r="B164" i="3"/>
  <c r="B165" i="3"/>
  <c r="B166" i="3"/>
  <c r="B167" i="3"/>
  <c r="B168" i="3"/>
  <c r="B169" i="3"/>
  <c r="B170" i="3"/>
  <c r="B171" i="3"/>
  <c r="B172" i="3"/>
  <c r="B173" i="3"/>
  <c r="B174" i="3"/>
  <c r="B176" i="3"/>
  <c r="B177" i="3"/>
  <c r="B178" i="3"/>
  <c r="B179" i="3"/>
  <c r="B180" i="3"/>
  <c r="B181" i="3"/>
  <c r="B182" i="3"/>
  <c r="B183" i="3"/>
  <c r="B184" i="3"/>
  <c r="B185" i="3"/>
  <c r="B186" i="3"/>
  <c r="B187" i="3"/>
  <c r="B188" i="3"/>
  <c r="B189" i="3"/>
  <c r="B190" i="3"/>
  <c r="B192" i="3"/>
  <c r="B195" i="3"/>
  <c r="B196" i="3"/>
  <c r="B197" i="3"/>
  <c r="B198" i="3"/>
  <c r="B200" i="3"/>
  <c r="B201" i="3"/>
  <c r="B202" i="3"/>
  <c r="B203" i="3"/>
  <c r="B204" i="3"/>
  <c r="B205" i="3"/>
  <c r="B207" i="3"/>
  <c r="B208" i="3"/>
  <c r="B209" i="3"/>
  <c r="B210" i="3"/>
  <c r="B211" i="3"/>
  <c r="B11" i="2"/>
  <c r="B13" i="2"/>
  <c r="B15" i="2"/>
  <c r="B16" i="2"/>
  <c r="B17" i="2"/>
  <c r="B18" i="2"/>
  <c r="B19" i="2"/>
  <c r="B22" i="2"/>
  <c r="B25" i="2"/>
  <c r="B27" i="2"/>
  <c r="B28" i="2"/>
  <c r="B29" i="2"/>
  <c r="B30" i="2"/>
  <c r="B31" i="2"/>
  <c r="B32" i="2"/>
  <c r="B33" i="2"/>
  <c r="B34" i="2"/>
  <c r="B35" i="2"/>
  <c r="B39" i="2"/>
  <c r="B44" i="2"/>
  <c r="B46" i="2"/>
  <c r="B47" i="2"/>
  <c r="B50" i="2"/>
  <c r="B51" i="2"/>
  <c r="B53" i="2"/>
  <c r="B57" i="2"/>
  <c r="B62" i="2"/>
  <c r="B64" i="2"/>
  <c r="B67" i="2"/>
  <c r="B70" i="2"/>
  <c r="B71" i="2"/>
  <c r="B72" i="2"/>
  <c r="B73" i="2"/>
  <c r="B74" i="2"/>
  <c r="B75" i="2"/>
  <c r="B76" i="2"/>
  <c r="B77" i="2"/>
  <c r="B78" i="2"/>
  <c r="B79" i="2"/>
  <c r="B80" i="2"/>
  <c r="B81" i="2"/>
  <c r="B82" i="2"/>
  <c r="B83" i="2"/>
  <c r="B84" i="2"/>
  <c r="B85" i="2"/>
  <c r="B90" i="2"/>
  <c r="B95" i="2"/>
  <c r="B97" i="2"/>
  <c r="B98" i="2"/>
  <c r="B99" i="2"/>
  <c r="B100" i="2"/>
  <c r="B101" i="2"/>
  <c r="B102" i="2"/>
  <c r="B36" i="5"/>
  <c r="B5" i="5"/>
  <c r="B6" i="5"/>
  <c r="B7" i="5"/>
  <c r="B8" i="5"/>
  <c r="B9" i="5"/>
  <c r="B12" i="5"/>
  <c r="B13" i="5"/>
  <c r="B14" i="5"/>
  <c r="B15" i="5"/>
  <c r="B16" i="5"/>
  <c r="B17" i="5"/>
  <c r="B18" i="5"/>
  <c r="B19" i="5"/>
  <c r="B20" i="5"/>
  <c r="B22" i="5"/>
  <c r="B23" i="5"/>
  <c r="B24" i="5"/>
  <c r="B25" i="5"/>
  <c r="B26" i="5"/>
  <c r="B27" i="5"/>
  <c r="B28" i="5"/>
  <c r="B29" i="5"/>
  <c r="B30" i="5"/>
  <c r="B31" i="5"/>
  <c r="B32" i="5"/>
  <c r="B33" i="5"/>
  <c r="B34" i="5"/>
  <c r="B35" i="5"/>
  <c r="B37" i="5"/>
  <c r="B38" i="5"/>
  <c r="B39" i="5"/>
  <c r="B40" i="5"/>
  <c r="B41" i="5"/>
  <c r="B42" i="5"/>
  <c r="B43" i="5"/>
  <c r="B44" i="5"/>
  <c r="B45" i="5"/>
  <c r="B46" i="5"/>
  <c r="B47" i="5"/>
  <c r="B48" i="5"/>
  <c r="B49" i="5"/>
  <c r="B50" i="5"/>
  <c r="B51" i="5"/>
  <c r="B52"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5" i="5"/>
  <c r="B86" i="5"/>
  <c r="B87" i="5"/>
  <c r="B88" i="5"/>
  <c r="B89" i="5"/>
  <c r="B90" i="5"/>
  <c r="B91" i="5"/>
  <c r="B92" i="5"/>
  <c r="B93" i="5"/>
  <c r="B94" i="5"/>
  <c r="B95" i="5"/>
  <c r="B6" i="18"/>
  <c r="B11" i="18"/>
  <c r="B13" i="18"/>
  <c r="B8" i="18"/>
  <c r="B7" i="18"/>
  <c r="B22" i="18"/>
  <c r="B17" i="18"/>
  <c r="B31" i="18"/>
  <c r="B33" i="18"/>
  <c r="B37" i="18"/>
  <c r="B9" i="18"/>
  <c r="B242" i="18"/>
  <c r="B10" i="18"/>
  <c r="B12" i="18"/>
  <c r="B15" i="18"/>
  <c r="B16" i="18"/>
  <c r="B18" i="18"/>
  <c r="B19" i="18"/>
  <c r="B20" i="18"/>
  <c r="B21" i="18"/>
  <c r="B23" i="18"/>
  <c r="B24" i="18"/>
  <c r="B25" i="18"/>
  <c r="B26" i="18"/>
  <c r="B27" i="18"/>
  <c r="B30" i="18"/>
  <c r="B32" i="18"/>
  <c r="B34" i="18"/>
  <c r="B36" i="18"/>
  <c r="B38" i="18"/>
  <c r="B39" i="18"/>
  <c r="B40" i="18"/>
  <c r="B41" i="18"/>
  <c r="B43" i="18"/>
  <c r="B45" i="18"/>
  <c r="B46" i="18"/>
  <c r="B47" i="18"/>
  <c r="B48" i="18"/>
  <c r="B49" i="18"/>
  <c r="B52" i="18"/>
  <c r="B53" i="18"/>
  <c r="B54" i="18"/>
  <c r="B55" i="18"/>
  <c r="B56" i="18"/>
  <c r="B57" i="18"/>
  <c r="B59" i="18"/>
  <c r="B60" i="18"/>
  <c r="B61" i="18"/>
  <c r="B62" i="18"/>
  <c r="B64" i="18"/>
  <c r="B63" i="18"/>
  <c r="B65" i="18"/>
  <c r="B68" i="18"/>
  <c r="B71" i="18"/>
  <c r="B70" i="18"/>
  <c r="B69" i="18"/>
  <c r="B72" i="18"/>
  <c r="B74" i="18"/>
  <c r="B78" i="18"/>
  <c r="B79" i="18"/>
  <c r="B77" i="18"/>
  <c r="B76" i="18"/>
  <c r="B81" i="18"/>
  <c r="B84" i="18"/>
  <c r="B83" i="18"/>
  <c r="B82" i="18"/>
  <c r="B87" i="18"/>
  <c r="B86" i="18"/>
  <c r="B90" i="18"/>
  <c r="B88" i="18"/>
  <c r="B89" i="18"/>
  <c r="B91" i="18"/>
  <c r="B95" i="18"/>
  <c r="B94" i="18"/>
  <c r="B97" i="18"/>
  <c r="B98" i="18"/>
  <c r="B96" i="18"/>
  <c r="B99" i="18"/>
  <c r="B101" i="18"/>
  <c r="B102" i="18"/>
  <c r="B105" i="18"/>
  <c r="B103" i="18"/>
  <c r="B104" i="18"/>
  <c r="B106" i="18"/>
  <c r="B107" i="18"/>
  <c r="B108" i="18"/>
  <c r="B109" i="18"/>
  <c r="B112" i="18"/>
  <c r="B114" i="18"/>
  <c r="B118" i="18"/>
  <c r="B119" i="18"/>
  <c r="B116" i="18"/>
  <c r="B117" i="18"/>
  <c r="B121" i="18"/>
  <c r="B127" i="18"/>
  <c r="B126" i="18"/>
  <c r="B124" i="18"/>
  <c r="B130" i="18"/>
  <c r="B131" i="18"/>
  <c r="B133" i="18"/>
  <c r="B132" i="18"/>
  <c r="B135" i="18"/>
  <c r="B141" i="18"/>
  <c r="B136" i="18"/>
  <c r="B139" i="18"/>
  <c r="B138" i="18"/>
  <c r="B143" i="18"/>
  <c r="B145" i="18"/>
  <c r="B144" i="18"/>
  <c r="B140" i="18"/>
  <c r="B142" i="18"/>
  <c r="B137" i="18"/>
  <c r="B150" i="18"/>
  <c r="B151" i="18"/>
  <c r="B149" i="18"/>
  <c r="B148" i="18"/>
  <c r="B152" i="18"/>
  <c r="B146" i="18"/>
  <c r="B153" i="18"/>
  <c r="B157" i="18"/>
  <c r="B156" i="18"/>
  <c r="B155" i="18"/>
  <c r="B154" i="18"/>
  <c r="B159" i="18"/>
  <c r="B158" i="18"/>
  <c r="B162" i="18"/>
  <c r="B160" i="18"/>
  <c r="B161" i="18"/>
  <c r="B163" i="18"/>
  <c r="B164" i="18"/>
  <c r="B165" i="18"/>
  <c r="B175" i="18"/>
  <c r="B168" i="18"/>
  <c r="B172" i="18"/>
  <c r="B173" i="18"/>
  <c r="B169" i="18"/>
  <c r="B171" i="18"/>
  <c r="B167" i="18"/>
  <c r="B170" i="18"/>
  <c r="B174" i="18"/>
  <c r="B177" i="18"/>
  <c r="B185" i="18"/>
  <c r="B187" i="18"/>
  <c r="B186" i="18"/>
  <c r="B182" i="18"/>
  <c r="B179" i="18"/>
  <c r="B184" i="18"/>
  <c r="B180" i="18"/>
  <c r="B181" i="18"/>
  <c r="B183" i="18"/>
  <c r="B194" i="18"/>
  <c r="B192" i="18"/>
  <c r="B191" i="18"/>
  <c r="B195" i="18"/>
  <c r="B190" i="18"/>
  <c r="B189" i="18"/>
  <c r="B193" i="18"/>
  <c r="B204" i="18"/>
  <c r="B200" i="18"/>
  <c r="B203" i="18"/>
  <c r="B202" i="18"/>
  <c r="B197" i="18"/>
  <c r="B196" i="18"/>
  <c r="B201" i="18"/>
  <c r="B206" i="18"/>
  <c r="B215" i="18"/>
  <c r="B212" i="18"/>
  <c r="B208" i="18"/>
  <c r="B211" i="18"/>
  <c r="B214" i="18"/>
  <c r="B213" i="18"/>
  <c r="B216" i="18"/>
  <c r="B210" i="18"/>
  <c r="B209" i="18"/>
  <c r="B220" i="18"/>
  <c r="B225" i="18"/>
  <c r="B223" i="18"/>
  <c r="B224" i="18"/>
  <c r="B218" i="18"/>
  <c r="B226" i="18"/>
  <c r="B230" i="18"/>
  <c r="B228" i="18"/>
  <c r="B227" i="18"/>
  <c r="B231" i="18"/>
  <c r="B232" i="18"/>
  <c r="B229" i="18"/>
  <c r="B239" i="18"/>
  <c r="B235" i="18"/>
  <c r="B237" i="18"/>
  <c r="B236" i="18"/>
  <c r="B234" i="18"/>
  <c r="B238" i="18"/>
  <c r="B240" i="18"/>
  <c r="B243" i="18"/>
  <c r="B245" i="18"/>
  <c r="B246" i="18"/>
  <c r="B249" i="18"/>
  <c r="B257" i="18"/>
  <c r="B256" i="18"/>
  <c r="B254" i="18"/>
  <c r="B252" i="18"/>
  <c r="B258" i="18"/>
  <c r="B264" i="18"/>
  <c r="B260" i="18"/>
  <c r="B261" i="18"/>
  <c r="B267" i="18"/>
  <c r="B268" i="18"/>
  <c r="B270" i="18"/>
  <c r="B276" i="18"/>
  <c r="B277" i="18"/>
  <c r="B278" i="18"/>
</calcChain>
</file>

<file path=xl/sharedStrings.xml><?xml version="1.0" encoding="utf-8"?>
<sst xmlns="http://schemas.openxmlformats.org/spreadsheetml/2006/main" count="12008" uniqueCount="5226">
  <si>
    <t>KOL Identification: Outline of Desk Research</t>
  </si>
  <si>
    <t xml:space="preserve">Information to be considered for inclusion: please complete the ‘comments’ column
Please also add any additional elements that you would like to be included within the research that is not listed below. 
</t>
  </si>
  <si>
    <t>S_No</t>
  </si>
  <si>
    <t>Journal</t>
  </si>
  <si>
    <t>Impact_Factor</t>
  </si>
  <si>
    <t>Reference_Link</t>
  </si>
  <si>
    <t>Comments</t>
  </si>
  <si>
    <t>https://www.thelancet.com/lancet-people</t>
  </si>
  <si>
    <t>https://www.nejm.org/about-nejm/editors-and-publishers</t>
  </si>
  <si>
    <t>Study_Title</t>
  </si>
  <si>
    <t>Condition/Intervention</t>
  </si>
  <si>
    <t>Trial_Code</t>
  </si>
  <si>
    <t>Activity_Region</t>
  </si>
  <si>
    <t>Activity_Country</t>
  </si>
  <si>
    <t>International</t>
  </si>
  <si>
    <t>National</t>
  </si>
  <si>
    <t>Italy</t>
  </si>
  <si>
    <t>United Kingdom</t>
  </si>
  <si>
    <t>United States of America</t>
  </si>
  <si>
    <t xml:space="preserve">KOL Identification: Outline of Desk Research </t>
  </si>
  <si>
    <t>Information to be considered for inclusion: please complete the ‘comments’ column
Please also add any additional elements that you would like to be included within the research that is not listed below.</t>
  </si>
  <si>
    <t>Guideline</t>
  </si>
  <si>
    <t>Therapeutic area</t>
  </si>
  <si>
    <t>Registered_Country_and_Headquarters</t>
  </si>
  <si>
    <t>Canada</t>
  </si>
  <si>
    <t>Belgium</t>
  </si>
  <si>
    <t>England</t>
  </si>
  <si>
    <t>Switzerland</t>
  </si>
  <si>
    <t>Payor_Drug_Evaluation_Group</t>
  </si>
  <si>
    <t>https://c-path.org/</t>
  </si>
  <si>
    <t>https://www.rti.org/</t>
  </si>
  <si>
    <t>https://www.fda.gov/about-fda/fda-organization/center-biologics-evaluation-and-research-cber</t>
  </si>
  <si>
    <t>https://www.fda.gov/about-fda/fda-organization/center-drug-evaluation-and-research-cder</t>
  </si>
  <si>
    <t>https://icer.org/</t>
  </si>
  <si>
    <t>https://www.fda.gov/aboutfda/centersoffices/oc/officeofscientificandmedicalprograms/nctr/default.htm</t>
  </si>
  <si>
    <t>https://www.fda.gov/aboutfda/centersoffices/officeofmedicalproductsandtobacco/officeofscienceandhealthcoordination/ucm2018190.htm</t>
  </si>
  <si>
    <t>https://www.fda.gov/aboutfda/centersoffices/officeofglobalregulatoryoperationsandpolicy/ora/default.htm</t>
  </si>
  <si>
    <t>https://www.ahrq.gov/research/findings/ta/index.html</t>
  </si>
  <si>
    <t>Regulatory_Agency</t>
  </si>
  <si>
    <t>Sweden</t>
  </si>
  <si>
    <t>https://www.acf.hhs.gov/</t>
  </si>
  <si>
    <t>https://www.ahrq.gov/</t>
  </si>
  <si>
    <t>https://www.nih.gov/about-nih/who-we-are</t>
  </si>
  <si>
    <t>http://www.fda.gov/</t>
  </si>
  <si>
    <t>https://www.hhs.gov/</t>
  </si>
  <si>
    <t>https://www.cdc.gov/index.htm</t>
  </si>
  <si>
    <t>Information to be considered for inclusion: please complete the ‘importance to team’ column
Please also add any additional elements that you would like to be included within the research that is not listed below.</t>
  </si>
  <si>
    <t>We will use the following terms to perform searches in the PubMed database to gather an initial list of KOLs. A list will be supplied showing the total number of publications for each individual identified from the searches.</t>
  </si>
  <si>
    <t>S.No</t>
  </si>
  <si>
    <t>List of Keyterms AND Synonyms (Health Economics)</t>
  </si>
  <si>
    <t>Budget Impact</t>
  </si>
  <si>
    <t>Clinical Outcomes</t>
  </si>
  <si>
    <t>Cost-Effectiveness</t>
  </si>
  <si>
    <t>Economic Analysis</t>
  </si>
  <si>
    <t>Economic Evaluation</t>
  </si>
  <si>
    <t>Economic Impact</t>
  </si>
  <si>
    <t>Epidemiology</t>
  </si>
  <si>
    <t>Health Economics</t>
  </si>
  <si>
    <t>Health Policy Analysis</t>
  </si>
  <si>
    <t>Health Technology Assessment</t>
  </si>
  <si>
    <t>Health-Related Quality of Life</t>
  </si>
  <si>
    <t>Incremental Cost Effectiveness Ratio</t>
  </si>
  <si>
    <t>Market Access</t>
  </si>
  <si>
    <t>Medicine Management</t>
  </si>
  <si>
    <t>Outcome Measure</t>
  </si>
  <si>
    <t>Outcome Research</t>
  </si>
  <si>
    <t>Patient-Reported Outcome</t>
  </si>
  <si>
    <t>Pharmacoeconomic</t>
  </si>
  <si>
    <t>Pharmacoepidemiology</t>
  </si>
  <si>
    <t>Quality of Care</t>
  </si>
  <si>
    <t>Quality-Adjusted Life Year</t>
  </si>
  <si>
    <t>Reimbursement</t>
  </si>
  <si>
    <t xml:space="preserve">Information to be considered for inclusion: please complete the ‘comments’ column
Please also add any additional elements that you would like to be included within the research that is not listed below.
</t>
  </si>
  <si>
    <t>Cost of Treatment</t>
  </si>
  <si>
    <t>Risk Assessment</t>
  </si>
  <si>
    <t>List of Keyterms AND Synonyms (Schizophrenia &amp; Alzheimer's Disease Psychosis)</t>
  </si>
  <si>
    <t>List of Keyterms AND Synonyms (Drug)</t>
  </si>
  <si>
    <t>List of Keyterms AND Synonyms (Drug Class)</t>
  </si>
  <si>
    <t>List of Keyterms AND Synonyms (Therapy)</t>
  </si>
  <si>
    <t>Access to Care</t>
  </si>
  <si>
    <t>Antidepressants</t>
  </si>
  <si>
    <t>Cost of Illness</t>
  </si>
  <si>
    <t>Deprivation</t>
  </si>
  <si>
    <t>Disturbed Sleep/ Insomnia/ Sleep Quality</t>
  </si>
  <si>
    <t>Economic Burden</t>
  </si>
  <si>
    <t>Emotional Impact/ Emotional Distress/ Emotional Well-Being</t>
  </si>
  <si>
    <t>Global Burden</t>
  </si>
  <si>
    <t>Health Care Cost</t>
  </si>
  <si>
    <t>Incidence</t>
  </si>
  <si>
    <t>Prevalence</t>
  </si>
  <si>
    <t>Severity of Illness Index</t>
  </si>
  <si>
    <t>Schizophrenia &amp; Alzheimer's Disease Psychosis</t>
  </si>
  <si>
    <t>Schizophrenia/ Schizoprenia/ Schizophrenic Disorder</t>
  </si>
  <si>
    <t>Alzheimer's Disease Psychosis/ ADP/ Psychosis in Alzheimer's Disease</t>
  </si>
  <si>
    <t>Prodromal Schizophrenia</t>
  </si>
  <si>
    <t>Acute Schizophrenia</t>
  </si>
  <si>
    <t>Residual Schizophrenia</t>
  </si>
  <si>
    <t>Schizophrenia Relapse</t>
  </si>
  <si>
    <t>Remission in Schizophrenia</t>
  </si>
  <si>
    <t>Early-Onset Schizophrenia</t>
  </si>
  <si>
    <t>Late-Onset Schizophrenia</t>
  </si>
  <si>
    <t>Chronic Schizophrenia</t>
  </si>
  <si>
    <t>Schizophrenia Spectrum Disorders</t>
  </si>
  <si>
    <t>Schizophreniform Disorder</t>
  </si>
  <si>
    <t>Schizoaffective Disorder</t>
  </si>
  <si>
    <t>Schizotypal Personality Disorder/ Schizotypal Disorder</t>
  </si>
  <si>
    <t>Brief Psychotic Disorder</t>
  </si>
  <si>
    <t>Delusional Disorder</t>
  </si>
  <si>
    <t>Substance-Induced Psychotic Disorder/ Medication-Induced Psychotic Disorder/ Substance-Induced Psychoses/ Drug-induced Psychosis/ Stimulant Psychosis</t>
  </si>
  <si>
    <t>Psychotic Disorder Due to Another Medical Condition</t>
  </si>
  <si>
    <t>Thought Disorder</t>
  </si>
  <si>
    <t>Hallucinations</t>
  </si>
  <si>
    <t>Delusions</t>
  </si>
  <si>
    <t>Disorganized Speech</t>
  </si>
  <si>
    <t>Disorganized Behavior</t>
  </si>
  <si>
    <t>Catatonic Schizophrenia</t>
  </si>
  <si>
    <t>Disorganized Schizophrenia</t>
  </si>
  <si>
    <t>Paranoid Schizophrenia</t>
  </si>
  <si>
    <t>Treatment-Resistant Schizophrenia</t>
  </si>
  <si>
    <t>Undifferentiated Schizophrenia</t>
  </si>
  <si>
    <t>Deficit Schizophrenia</t>
  </si>
  <si>
    <t>Schizophrenia Biomarkers</t>
  </si>
  <si>
    <t>Schizophrenia Neuroimaging</t>
  </si>
  <si>
    <t>Schizophrenia Epigenetics</t>
  </si>
  <si>
    <t>Schizophrenia and Immune System</t>
  </si>
  <si>
    <t>Schizophrenia and Microbiome</t>
  </si>
  <si>
    <t>Shared Paranoid Disorder/ Shared Psychotic Disorder</t>
  </si>
  <si>
    <t>Paranoia</t>
  </si>
  <si>
    <t>Psychosis/ Psychotic Disorder</t>
  </si>
  <si>
    <t>Positive Symptoms</t>
  </si>
  <si>
    <t>Negative Symptoms</t>
  </si>
  <si>
    <t>Apathy</t>
  </si>
  <si>
    <t>Anhedonia</t>
  </si>
  <si>
    <t>Alogia/ Poverty of Speech</t>
  </si>
  <si>
    <t>Avolition/ Lack of Motivation</t>
  </si>
  <si>
    <t>Flat Affect/ Affective Blunting</t>
  </si>
  <si>
    <t>Cognitive Deficits/ Cognitive Impairment/ Cognitive Disorders/ Cognitive Dysfunction</t>
  </si>
  <si>
    <t>Emotional Disorders</t>
  </si>
  <si>
    <t>Behavioral Disorders</t>
  </si>
  <si>
    <t>Mood Disorders</t>
  </si>
  <si>
    <t>Mental Disorders/ Mental Illness</t>
  </si>
  <si>
    <t>Working Memory Impairment</t>
  </si>
  <si>
    <t>Executive Dysfunction</t>
  </si>
  <si>
    <t>Social Cognition Deficits</t>
  </si>
  <si>
    <t>First-Episode Psychosis/ Early Psychosis</t>
  </si>
  <si>
    <t>Psychotic Depression</t>
  </si>
  <si>
    <t>Catatonia</t>
  </si>
  <si>
    <t>Grandiosity</t>
  </si>
  <si>
    <t>Neurodevelopmental Disorders</t>
  </si>
  <si>
    <t>Bipolar Disorder with Psychotic Features</t>
  </si>
  <si>
    <t>Neuropsychiatric Disorders/ Neuropsychiatric Syndrome</t>
  </si>
  <si>
    <t>Neurodegenerative Diseases</t>
  </si>
  <si>
    <t>Dopamine Dysregulation</t>
  </si>
  <si>
    <t>Psychosocial Rehabilitation/ Psychiatric Rehabilitation</t>
  </si>
  <si>
    <t>Psychosis Risk Syndrome/ Attenuated Psychosis Syndrome</t>
  </si>
  <si>
    <t>Secondary Psychosis</t>
  </si>
  <si>
    <t>Acetylcholine Deficit</t>
  </si>
  <si>
    <t>ADP Biomarkers</t>
  </si>
  <si>
    <t>Neuropsychiatric Symptoms in AD</t>
  </si>
  <si>
    <t>Behavioral and Psychological Symptoms of Dementia/ BPSD</t>
  </si>
  <si>
    <t>Psychosis Spectrum Disorders/ Psychosis Spectrum Illnesses</t>
  </si>
  <si>
    <t>Neuro-Psychiatric Brain Diseases</t>
  </si>
  <si>
    <t>Schizophrenia/chemically induced</t>
  </si>
  <si>
    <t>Schizophrenia/classification</t>
  </si>
  <si>
    <t>Schizophrenia/complications</t>
  </si>
  <si>
    <t>Schizophrenia/diagnosis</t>
  </si>
  <si>
    <t>Schizophrenia/diagnostic imaging</t>
  </si>
  <si>
    <t>Schizophrenia/drug therapy</t>
  </si>
  <si>
    <t>Schizophrenia/epidemiology</t>
  </si>
  <si>
    <t>Schizophrenia/genetics</t>
  </si>
  <si>
    <t>Schizophrenia/physiopathology / Schizophrenia Pathophysiology</t>
  </si>
  <si>
    <t>Schizophrenia/prevention and control</t>
  </si>
  <si>
    <t>Schizophrenia/rehabilitation</t>
  </si>
  <si>
    <t>Schizophrenia/therapy</t>
  </si>
  <si>
    <t>Clozapine/ Clozaril</t>
  </si>
  <si>
    <t>Xanomeline</t>
  </si>
  <si>
    <t>Chlorpromazine/ Thorazine</t>
  </si>
  <si>
    <t>Fluphenazine/ Prolixin</t>
  </si>
  <si>
    <t>Haloperidol/ Haldol</t>
  </si>
  <si>
    <t>Perphenazine/ Trilafon</t>
  </si>
  <si>
    <t>Thioridazine/ Mellaril</t>
  </si>
  <si>
    <t>Trifluoperazine/ Stelazine</t>
  </si>
  <si>
    <t>Aripiprazole/ Abilify</t>
  </si>
  <si>
    <t>Asenapine/ Saphris</t>
  </si>
  <si>
    <t>Brexpiprazole/ Rexulti</t>
  </si>
  <si>
    <t>Cariprazine/ Vraylar</t>
  </si>
  <si>
    <t>Iloperidone/ Fanapt</t>
  </si>
  <si>
    <t>Lumateperone/ Caplyta</t>
  </si>
  <si>
    <t>Lurasidone/ Latuda</t>
  </si>
  <si>
    <t>Olanzapine/ Zyprexa</t>
  </si>
  <si>
    <t>Paliperidone/ Invega</t>
  </si>
  <si>
    <t>Quetiapine/ Seroquel</t>
  </si>
  <si>
    <t>Risperidone/ Risperdal</t>
  </si>
  <si>
    <t>Ziprasidone/ Geodon</t>
  </si>
  <si>
    <t>Aripiprazole Lauroxil/ Aristada</t>
  </si>
  <si>
    <t>Aripiprazole Monohydrate/ Abilify Maintena</t>
  </si>
  <si>
    <t>Fluphenazine Decanoate</t>
  </si>
  <si>
    <t>Haloperidol Decanoate</t>
  </si>
  <si>
    <t>Paliperidone Palmitate/ Invega Sustenna/ Invega Trinza</t>
  </si>
  <si>
    <t>Donepezil/ Aricept</t>
  </si>
  <si>
    <t>Rivastigmine/ Exelon</t>
  </si>
  <si>
    <t>Galantamine/ Razadyne</t>
  </si>
  <si>
    <t>Memantine</t>
  </si>
  <si>
    <t>Pimavanserin/ Nuplazid</t>
  </si>
  <si>
    <t>Zotepine</t>
  </si>
  <si>
    <t>Sertindole</t>
  </si>
  <si>
    <t>Amisulpride</t>
  </si>
  <si>
    <t>Molindone</t>
  </si>
  <si>
    <t>Pipotiazine</t>
  </si>
  <si>
    <t>Loxapine</t>
  </si>
  <si>
    <t>Thiothixene/ Tiotixene</t>
  </si>
  <si>
    <t>Prochlorperazine</t>
  </si>
  <si>
    <t>Flupentixol</t>
  </si>
  <si>
    <t>Pimozide</t>
  </si>
  <si>
    <t>Emraclidine</t>
  </si>
  <si>
    <t>Muscarinic Agonists</t>
  </si>
  <si>
    <t>Second-Generation Antipsychotics/ SGAs/ Atypical Antipsychotics</t>
  </si>
  <si>
    <t>Long-Acting Injectable Antipsychotics/ LAIs</t>
  </si>
  <si>
    <t>Mood Stabilizers</t>
  </si>
  <si>
    <t>Anxiolytics/ Anti-Anxiety Drugs</t>
  </si>
  <si>
    <t>NMDA Receptor Antagonists</t>
  </si>
  <si>
    <t>Cholinergic Therapies</t>
  </si>
  <si>
    <t>Cholinesterase Inhibitors/ ChEIs</t>
  </si>
  <si>
    <t>Glutamatergic Therapies</t>
  </si>
  <si>
    <t>Selective Serotonin Reuptake Inhibitors/ SSRIs/ Serotonergic Therapies</t>
  </si>
  <si>
    <t>Dopamine Antagonists/ Anti-Dopaminergic Drugs/ Dopamine Receptor Antagonist</t>
  </si>
  <si>
    <t>Anticonvulsant Drugs</t>
  </si>
  <si>
    <t>Benzodiazepines</t>
  </si>
  <si>
    <t>Psychotherapy/ Talk Therapy/ Individual therapy</t>
  </si>
  <si>
    <t>Psychosocial Therapy/ Psychosocial Interventions</t>
  </si>
  <si>
    <t>Cognitive Behavioral Therapy/ CBT</t>
  </si>
  <si>
    <t>Social Skills Training/ SST</t>
  </si>
  <si>
    <t>Family Therapy/ Family Psychoeducation</t>
  </si>
  <si>
    <t>Electroconvulsive Therapy/ ECT</t>
  </si>
  <si>
    <t>Repetitive Transcranial Magnetic Stimulation/ rTMS</t>
  </si>
  <si>
    <t>Transcranial Magnetic Stimulation/ TMS</t>
  </si>
  <si>
    <t>Combination Therapies</t>
  </si>
  <si>
    <t>Cognitive Behavioral Therapy for Psychosis/ CBTp/ CBT-p</t>
  </si>
  <si>
    <t>Validation Therapy</t>
  </si>
  <si>
    <t>Assertive Community Treatment</t>
  </si>
  <si>
    <t>Burden of Illness/ Burden of Disease</t>
  </si>
  <si>
    <t>Scale for the Assessment of Negative Symptoms/ SANS</t>
  </si>
  <si>
    <t>Scale for the Assessment of Positive Symptoms/ SAPS</t>
  </si>
  <si>
    <t>Positive and Negative Syndrome Scale/ PANSS</t>
  </si>
  <si>
    <t>Brief Psychiatric Rating Scale/ BPRS</t>
  </si>
  <si>
    <t>Global Assessment of Functioning/ GAF</t>
  </si>
  <si>
    <t>Calgary Depression Scale for Schizophrenia/ CDSS</t>
  </si>
  <si>
    <t>Personal and Social Performance Scale/ PSP</t>
  </si>
  <si>
    <t>MATRICS Consensus Cognitive Battery/ MCCB</t>
  </si>
  <si>
    <t>Repeatable Battery for the Assessment of Neuropsychological Status/ RBANS</t>
  </si>
  <si>
    <t>Clinical Global Impression Scale</t>
  </si>
  <si>
    <t>Clinical Assessment Interview for Negative Symptoms/ CAINS</t>
  </si>
  <si>
    <t>World Health Organization Disability Assessment Schedule 2.0/ WHODAS 2.0</t>
  </si>
  <si>
    <t>Neuropsychiatric Inventory</t>
  </si>
  <si>
    <t>BEHAVE-AD/ Behavioral Pathology in Alzheimer's Disease Rating Scale</t>
  </si>
  <si>
    <t>Cohen-Mansfield Agitation Inventory/ CMAI</t>
  </si>
  <si>
    <t>Neuropsychiatric Inventory-Nursing Home Version/ NPI-NH</t>
  </si>
  <si>
    <t>Psycho-Sensory Hallucinations Scale/ PSAS</t>
  </si>
  <si>
    <t>Psychotic Symptom Rating Scales/ PSYRATS</t>
  </si>
  <si>
    <t>Artificial Intelligence</t>
  </si>
  <si>
    <t>Caregiver Burden</t>
  </si>
  <si>
    <t>Caregiver-Reported Outcomes/ CROs</t>
  </si>
  <si>
    <t>Cognitive Assessment</t>
  </si>
  <si>
    <t>Comorbidity</t>
  </si>
  <si>
    <t>Comparative Effectiveness Research</t>
  </si>
  <si>
    <t>Cost Utility/ Cost-Benefit Analysis/ Cost Savings</t>
  </si>
  <si>
    <t>Disability-Adjusted Life-Years/ DALYs</t>
  </si>
  <si>
    <t>Discrimination</t>
  </si>
  <si>
    <t>Early Mortality</t>
  </si>
  <si>
    <t>Functional Assessment</t>
  </si>
  <si>
    <t>Functional Outcomes</t>
  </si>
  <si>
    <t>Health Disparities</t>
  </si>
  <si>
    <t>Homelessness</t>
  </si>
  <si>
    <t>Income</t>
  </si>
  <si>
    <t>Informal Care</t>
  </si>
  <si>
    <t>Long-Term Care</t>
  </si>
  <si>
    <t>Low Self-Esteem</t>
  </si>
  <si>
    <t>Machine Learning</t>
  </si>
  <si>
    <t>Productivity Losses/ Presenteeism/ Work Productivity/ Work Ability</t>
  </si>
  <si>
    <t>Real-World Evidence</t>
  </si>
  <si>
    <t>Relapse</t>
  </si>
  <si>
    <t>Sickness Absence/ Sick Leave/ Absenteeism</t>
  </si>
  <si>
    <t>Social Determinants of Health/ SDOH</t>
  </si>
  <si>
    <t>Social Functioning</t>
  </si>
  <si>
    <t>Social Isolation/ Loneliness</t>
  </si>
  <si>
    <t>Social Withdrawal/ Social Isolation</t>
  </si>
  <si>
    <t>Socioeconomics/ Socio-economic Impact/ Socioeconomic Status</t>
  </si>
  <si>
    <t>Stigma</t>
  </si>
  <si>
    <t>Treatment Outcomes</t>
  </si>
  <si>
    <t>Violence</t>
  </si>
  <si>
    <t>Virtual Reality</t>
  </si>
  <si>
    <t>Suicide Risk/ Suicidal Ideation/ Suicidal Thoughts/ Suicidal Behavior</t>
  </si>
  <si>
    <t>France</t>
  </si>
  <si>
    <t>https://solidarites-sante.gouv.fr/ministere/acteurs/instances-rattachees/article/ceps-comite-economique-des-produits-de-sante</t>
  </si>
  <si>
    <t>https://assurance-maladie.ameli.fr/qui-sommes-nous</t>
  </si>
  <si>
    <t>Germany</t>
  </si>
  <si>
    <t>https://www.g-ba.de/</t>
  </si>
  <si>
    <t>https://www.gkv-spitzenverband.de/english/english.jsp</t>
  </si>
  <si>
    <t>https://www.agenas.it/</t>
  </si>
  <si>
    <t>https://assr.regione.emilia-romagna.it/</t>
  </si>
  <si>
    <t>Wales</t>
  </si>
  <si>
    <t>http://www.awmsg.org/</t>
  </si>
  <si>
    <t>https://www.ndph.ox.ac.uk/research/health-services-research-unit-hsru</t>
  </si>
  <si>
    <t>https://www.nice.org.uk/</t>
  </si>
  <si>
    <t>https://www.nihr.ac.uk/</t>
  </si>
  <si>
    <t>https://www.england.nhs.uk/medicines-2/commercial-medicines/commercial-medicines-unit/</t>
  </si>
  <si>
    <t>Scotland</t>
  </si>
  <si>
    <t>http://www.scottishmedicines.org.uk/</t>
  </si>
  <si>
    <t>https://www.inesss.qc.ca/en/about-us/about-the-institut.html</t>
  </si>
  <si>
    <t>http://www.pmprb-cepmb.gc.ca/home</t>
  </si>
  <si>
    <t>http://www.pdci.ca/about-us/</t>
  </si>
  <si>
    <t>Spain</t>
  </si>
  <si>
    <t>http://aquas.gencat.cat/ca/inici/</t>
  </si>
  <si>
    <t>https://www.aetsa.org/</t>
  </si>
  <si>
    <t>National Institute of Mental Health</t>
  </si>
  <si>
    <t>https://www.nimh.nih.gov/</t>
  </si>
  <si>
    <t>Japan</t>
  </si>
  <si>
    <t>https://www.ncnp.go.jp/index.php</t>
  </si>
  <si>
    <t>Hong Kong</t>
  </si>
  <si>
    <t>http://www.ahwp.info/index.php/</t>
  </si>
  <si>
    <t>https://www.who.int/</t>
  </si>
  <si>
    <t>Regional</t>
  </si>
  <si>
    <t>Europe</t>
  </si>
  <si>
    <t>The Netherlands</t>
  </si>
  <si>
    <t>https://www.ema.europa.eu/en/committees/committee-medicinal-products-human-use-chmp</t>
  </si>
  <si>
    <t>https://www.edqm.eu/en/</t>
  </si>
  <si>
    <t>http://www.hma.eu/</t>
  </si>
  <si>
    <t>http://www.ema.europa.eu/</t>
  </si>
  <si>
    <t>Denmark</t>
  </si>
  <si>
    <t>https://www.who.int/europe/home?v=welcome</t>
  </si>
  <si>
    <t>https://www.has-sante.fr/</t>
  </si>
  <si>
    <t>http://solidarites-sante.gouv.fr/</t>
  </si>
  <si>
    <t>http://ansm.sante.fr/</t>
  </si>
  <si>
    <t>http://www.bfarm.de/DE/Home/home_node.html</t>
  </si>
  <si>
    <t>https://www.bundesgesundheitsministerium.de/</t>
  </si>
  <si>
    <t>https://www.pei.de/DE/home/home-node.html</t>
  </si>
  <si>
    <t>http://www.rki.de/EN/Home/homepage_node.html</t>
  </si>
  <si>
    <t>https://www.aifa.gov.it/</t>
  </si>
  <si>
    <t>http://www.salute.gov.it/portale/home.html</t>
  </si>
  <si>
    <t>http://www.iss.it/</t>
  </si>
  <si>
    <t>https://www.gov.uk/government/organisations/department-of-health-and-social-care</t>
  </si>
  <si>
    <t>http://www.pharmacyregulation.org/</t>
  </si>
  <si>
    <t>http://www.mhra.gov.uk/index.htm</t>
  </si>
  <si>
    <t>https://www.england.nhs.uk/</t>
  </si>
  <si>
    <t>https://www.nihr.ac.uk/explore-nihr/funding-programmes/health-technology-assessment.htm</t>
  </si>
  <si>
    <t>Northern Ireland</t>
  </si>
  <si>
    <t>https://www.publichealth.hscni.net/</t>
  </si>
  <si>
    <t>http://www.healthscotland.com/</t>
  </si>
  <si>
    <t>https://phw.nhs.wales/</t>
  </si>
  <si>
    <t>https://www.canada.ca/en/health-canada/corporate/about-health-canada/branches-agencies/health-products-food-branch.html</t>
  </si>
  <si>
    <t>https://www.canada.ca/en/health-canada.htm</t>
  </si>
  <si>
    <t>https://www.canada.ca/en/public-health.html</t>
  </si>
  <si>
    <t>https://www8.cao.go.jp/cstp/stmain.html</t>
  </si>
  <si>
    <t>https://www.jst.go.jp/</t>
  </si>
  <si>
    <t>https://www.amed.go.jp/index.html</t>
  </si>
  <si>
    <t>https://www.mext.go.jp/index.htm</t>
  </si>
  <si>
    <t>https://www.mhlw.go.jp/</t>
  </si>
  <si>
    <t>http://www.nihs.go.jp/index-j.html</t>
  </si>
  <si>
    <t>https://www.niph.go.jp/</t>
  </si>
  <si>
    <t>https://www.pmda.go.jp/index.html</t>
  </si>
  <si>
    <t>https://www.wam.go.jp/hp/saitemap_new-tabid-1197/</t>
  </si>
  <si>
    <t>https://www.sanidad.gob.es/</t>
  </si>
  <si>
    <t>https://www.ciencia.gob.es/</t>
  </si>
  <si>
    <t>https://www.aemps.gob.es/</t>
  </si>
  <si>
    <t>https://www.csic.es/es</t>
  </si>
  <si>
    <t>https://www.samhsa.gov/</t>
  </si>
  <si>
    <t>https://mentalhealthcommission.ca/</t>
  </si>
  <si>
    <t>https://www.va.gov/health/</t>
  </si>
  <si>
    <t>https://cihr-irsc.gc.ca/e/8602.html</t>
  </si>
  <si>
    <t>European Medicines Agency</t>
  </si>
  <si>
    <t>https://www.tandfonline.com/doi/abs/10.1080/09638288.2017.1356384</t>
  </si>
  <si>
    <t>Schizophrenia</t>
  </si>
  <si>
    <t>National Institutes of Health</t>
  </si>
  <si>
    <t>https://www.ncbi.nlm.nih.gov/pmc/articles/PMC11112473/</t>
  </si>
  <si>
    <t>International Late-Onset Schizophrenia Group</t>
  </si>
  <si>
    <t>https://psychiatryonline.org/doi/10.1176/appi.ajp.157.2.172</t>
  </si>
  <si>
    <t>International Society for CNS Clinical Trials and Methodology</t>
  </si>
  <si>
    <t>https://www.ncbi.nlm.nih.gov/pmc/articles/PMC4681562/</t>
  </si>
  <si>
    <t>World Federation of Societies of Biological Psychiatry</t>
  </si>
  <si>
    <t>https://www.tandfonline.com/doi/full/10.1080/15622970902898980#d1e389</t>
  </si>
  <si>
    <t>American Psychiatric Association</t>
  </si>
  <si>
    <t>https://psychiatryonline.org/doi/10.1176/appi.ajp.2016.16050503</t>
  </si>
  <si>
    <t>https://www.tandfonline.com/doi/full/10.1080/13651501.2017.1291839#abstract</t>
  </si>
  <si>
    <t>Canadian Psychiatric Association</t>
  </si>
  <si>
    <t>https://www.ncbi.nlm.nih.gov/pmc/articles/PMC5593247/</t>
  </si>
  <si>
    <t>Schizophrenia Spectrum Disorders | Psychotic Disorders</t>
  </si>
  <si>
    <t>https://journals.sagepub.com/doi/full/10.1177/0706743717720197</t>
  </si>
  <si>
    <t>https://www.ncbi.nlm.nih.gov/pmc/articles/PMC5593248/</t>
  </si>
  <si>
    <t>Schizophrenia | Schizophrenia Spectrum Disorders</t>
  </si>
  <si>
    <t>https://journals.sagepub.com/doi/10.1177/0706743717719897</t>
  </si>
  <si>
    <t>https://journals.sagepub.com/doi/full/10.1177/0706743717720196</t>
  </si>
  <si>
    <t>https://journals.sagepub.com/doi/full/10.1177/0706743717719895</t>
  </si>
  <si>
    <t>Schizophrenia | Psychosis</t>
  </si>
  <si>
    <t>https://journals.sagepub.com/doi/full/10.1177/0706743717719894</t>
  </si>
  <si>
    <t>https://journals.sagepub.com/doi/full/10.1177/0706743717720195</t>
  </si>
  <si>
    <t>https://www.psychiatrist.com/jcp/clinical-guidance-on-treatment-resistant-schizophrenia/</t>
  </si>
  <si>
    <t>https://journals.sagepub.com/doi/10.1177/070674379203700704?url_ver=Z39.88-2003&amp;rfr_id=ori:rid:crossref.org&amp;rfr_dat=cr_pub%20%200pubmed</t>
  </si>
  <si>
    <t>https://www.ncbi.nlm.nih.gov/pmc/articles/PMC5593252/pdf/10.1177_0706743717720448.pdf</t>
  </si>
  <si>
    <t>https://journals.sagepub.com/doi/full/10.1177/0706743717719898</t>
  </si>
  <si>
    <t>French Society for Biological Psychiatry and Neuropsychopharmacology</t>
  </si>
  <si>
    <t>https://pubmed.ncbi.nlm.nih.gov/24373464/</t>
  </si>
  <si>
    <t>Schizophrenia | Antipsychotics</t>
  </si>
  <si>
    <t>https://www.sciencedirect.com/science/article/abs/pii/S0013700618301660?via%3Dihub</t>
  </si>
  <si>
    <t>French Federation of Psychiatry | National Union of Friends and Relatives of Mental Patients | National Agency for the Development of Health Evaluation</t>
  </si>
  <si>
    <t>https://pubmed.ncbi.nlm.nih.gov/10668598/</t>
  </si>
  <si>
    <t>https://pubmed.ncbi.nlm.nih.gov/11408792/</t>
  </si>
  <si>
    <t>Schizophrenia | Atypical Antipsychotics</t>
  </si>
  <si>
    <t>Reference Center for Rare Diseases with Psychiatric Expression (CRMR) - High Authority of Health (HAS)</t>
  </si>
  <si>
    <t>https://www.has-sante.fr/upload/docs/application/pdf/2022-10/synthese_mg_schizophrenie_a_debut_precoce.pdf</t>
  </si>
  <si>
    <t>https://www.sciencedirect.com/science/article/abs/pii/S0013700613701076</t>
  </si>
  <si>
    <t>First-Episode Schizophrenia | Atypical Antipsychotics</t>
  </si>
  <si>
    <t>https://pubmed.ncbi.nlm.nih.gov/7754415/</t>
  </si>
  <si>
    <t>Schizophrenic Psychoses</t>
  </si>
  <si>
    <t>German Society for Psychology (DGPs)</t>
  </si>
  <si>
    <t>https://www.hogrefe.com/de/shop/evidenzbasierte-leitlinie-zur-psychotherapie-von-schizophrenie-und-anderen-psychotischen-stoerungen-88681.html</t>
  </si>
  <si>
    <t>https://www.psychiatrist.com/jcp/implementation-schizophrenia-practice-guideline-clinical/</t>
  </si>
  <si>
    <t>https://www.dgppn.de/_Resources/Persistent/b794e84f9cbdf0d761b26cb1bd323b65188cb9e6/038-009e_S3_Schizophrenie_2019-03.pdf</t>
  </si>
  <si>
    <t>https://link.springer.com/article/10.2165/00044011-200727010-00001</t>
  </si>
  <si>
    <t>National Guidelines System (SNLG)</t>
  </si>
  <si>
    <t>https://sinpia.eu/wp-content/uploads/2019/02/2007_3.pdf</t>
  </si>
  <si>
    <t>https://pubmed.ncbi.nlm.nih.gov/25672664/</t>
  </si>
  <si>
    <t>Schizophrenia | Antipsychotics | Aripiprazole</t>
  </si>
  <si>
    <t>Japanese Society of Clinical Neuropsychopharmacology | Japanese Society of Clinical Neuropsychopharmacology</t>
  </si>
  <si>
    <t>https://www.jsnp-org.jp/csrinfo/img/togo_guideline2022_0817.pdf</t>
  </si>
  <si>
    <t>Japanese Society of Clinical Neuropsychopharmacology</t>
  </si>
  <si>
    <t>https://www.jsnp-org.jp/csrinfo/img/szgl_guide_all2022.pdf</t>
  </si>
  <si>
    <t>Spanish Societies of Psychiatry and Biological Psychiatry</t>
  </si>
  <si>
    <t>https://pubmed.ncbi.nlm.nih.gov/18830847/</t>
  </si>
  <si>
    <t>Ministry of Health, Consumer Affairs and Social Welfare</t>
  </si>
  <si>
    <t>https://consaludmental.org/publicaciones/GPCesquizofrenia.pdf</t>
  </si>
  <si>
    <t>https://www.elsevier.es/es-revista-revista-psiquiatria-salud-mental-286-linkresolver-eficacia-eficiencia-efectividad-el-tratamiento-S1888989116300593</t>
  </si>
  <si>
    <t>https://www.sciencedirect.com/science/article/pii/S1888989117301416</t>
  </si>
  <si>
    <t>https://onlinelibrary.wiley.com/doi/10.1111/j.1368-5031.2005.00498.x</t>
  </si>
  <si>
    <t>https://pubmed.ncbi.nlm.nih.gov/19132965/</t>
  </si>
  <si>
    <t>https://www.tandfonline.com/doi/full/10.1185/03007995.2013.766591</t>
  </si>
  <si>
    <t>British Association for Psychopharmacology</t>
  </si>
  <si>
    <t>https://www.bap.org.uk/pdfs/BAP_Guidelines-Schizophrenia2.pdf</t>
  </si>
  <si>
    <t>Scottish Intercollegiate Guidelines Network</t>
  </si>
  <si>
    <t>https://www.sign.ac.uk/assets/sign131.pdf</t>
  </si>
  <si>
    <t>National Institute for Health and Care Excellence</t>
  </si>
  <si>
    <t>https://www.nice.org.uk/guidance/cg178/resources/psychosis-and-schizophrenia-in-adults-prevention-and-management-pdf-35109758952133</t>
  </si>
  <si>
    <t>https://www.nice.org.uk/guidance/cg155/resources/psychosis-and-schizophrenia-in-children-and-young-people-recognition-and-management-pdf-35109632980933</t>
  </si>
  <si>
    <t>Neuroscience Education Institute</t>
  </si>
  <si>
    <t>https://www.cambridge.org/core/journals/cns-spectrums/article/metaguidelines-for-the-management-of-patients-with-schizophrenia/C47CEB6C55423179EE774D7AABEA45CF</t>
  </si>
  <si>
    <t>https://pubmed.ncbi.nlm.nih.gov/3062765/</t>
  </si>
  <si>
    <t>https://www.psychiatrist.com/jcp/algorithm-treatment-schizophrenia-correctional-setting/</t>
  </si>
  <si>
    <t>https://pubmed.ncbi.nlm.nih.gov/16469940/</t>
  </si>
  <si>
    <t>Negative Symptoms | Schizophrenia</t>
  </si>
  <si>
    <t>https://pubmed.ncbi.nlm.nih.gov/16247923/</t>
  </si>
  <si>
    <t>Ziprasidone | Schizophrenia</t>
  </si>
  <si>
    <t>https://pubmed.ncbi.nlm.nih.gov/21965468/</t>
  </si>
  <si>
    <t>https://pubmed.ncbi.nlm.nih.gov/21765166/</t>
  </si>
  <si>
    <t>https://pubmed.ncbi.nlm.nih.gov/22114099/</t>
  </si>
  <si>
    <t>https://pubmed.ncbi.nlm.nih.gov/22102094/</t>
  </si>
  <si>
    <t>https://pubmed.ncbi.nlm.nih.gov/22080498/</t>
  </si>
  <si>
    <t>https://pubmed.ncbi.nlm.nih.gov/15096076/</t>
  </si>
  <si>
    <t>https://pubmed.ncbi.nlm.nih.gov/18549874/</t>
  </si>
  <si>
    <t>European College of Neuropsychopharmacology</t>
  </si>
  <si>
    <t>https://linkinghub.elsevier.com/retrieve/pii/S0924977X9700045X</t>
  </si>
  <si>
    <t>Cognitive Neuroscience Treatment Research to Improve Cognition in Schizophrenia (CNTRICS) Initiative</t>
  </si>
  <si>
    <t>https://pubmed.ncbi.nlm.nih.gov/18466880/</t>
  </si>
  <si>
    <t>https://www.ncbi.nlm.nih.gov/pmc/articles/PMC2599914/</t>
  </si>
  <si>
    <t>https://pubmed.ncbi.nlm.nih.gov/17314729/</t>
  </si>
  <si>
    <t>Clozapine | Schizophrenia</t>
  </si>
  <si>
    <t>American Academy of Family Physicians</t>
  </si>
  <si>
    <t>https://www.aafp.org/pubs/afp/issues/2024/0500/practice-guidelines-first-episode-psychosis-and-schizophrenia.html</t>
  </si>
  <si>
    <t>Schizophrenia | First-Episode Psychosis</t>
  </si>
  <si>
    <t>https://www.ncbi.nlm.nih.gov/pmc/articles/PMC3245585/</t>
  </si>
  <si>
    <t>https://psychiatryonline.org/doi/10.1176/appi.ajp.161.8.1334</t>
  </si>
  <si>
    <t>American Academy of Child and Adolescent Psychiatry</t>
  </si>
  <si>
    <t>https://www.jaacap.org/article/S0890-8567(13)00112-3/pdf</t>
  </si>
  <si>
    <t>American Association of Geriatric Psychiatry</t>
  </si>
  <si>
    <t>https://www.ajgponline.org/article/S1064-7481(12)60994-4/abstract</t>
  </si>
  <si>
    <t>https://pubmed.ncbi.nlm.nih.gov/18184635/</t>
  </si>
  <si>
    <t>https://www.ncbi.nlm.nih.gov/pmc/articles/PMC2474810/</t>
  </si>
  <si>
    <t>https://www.ncbi.nlm.nih.gov/pmc/articles/PMC2483314/</t>
  </si>
  <si>
    <t>https://www.ncbi.nlm.nih.gov/pmc/articles/PMC2562029/</t>
  </si>
  <si>
    <t>https://academic.oup.com/schizophreniabulletin/article/28/1/5/1907056?login=false</t>
  </si>
  <si>
    <t>https://www.ncbi.nlm.nih.gov/pmc/articles/PMC2632223/</t>
  </si>
  <si>
    <t>https://www.ncbi.nlm.nih.gov/pmc/articles/PMC2800150/pdf/sbp130.pdf</t>
  </si>
  <si>
    <t>https://pubmed.ncbi.nlm.nih.gov/23728248/</t>
  </si>
  <si>
    <t>https://pubmed.ncbi.nlm.nih.gov/18549876/</t>
  </si>
  <si>
    <t>Texas Department of State Health Services</t>
  </si>
  <si>
    <t>https://www.psychiatrist.com/jcp/texas-medication-algorithm-project-antipsychotic-algorithm-schizophrenia-2006-update/</t>
  </si>
  <si>
    <t>https://www.ncbi.nlm.nih.gov/pmc/articles/PMC2435292/</t>
  </si>
  <si>
    <t>https://academic.oup.com/schizophreniabulletin/article/14/3/471/1865457</t>
  </si>
  <si>
    <t>European Dementia and Schizophrenia Network</t>
  </si>
  <si>
    <t>https://pubmed.ncbi.nlm.nih.gov/8788074/</t>
  </si>
  <si>
    <t>https://www.sciencedirect.com/science/article/abs/pii/S0924977X06001040?via%3Dihub</t>
  </si>
  <si>
    <t>European Psychiatric Association</t>
  </si>
  <si>
    <t>https://www.cambridge.org/core/services/aop-cambridge-core/content/view/86280E47EC2DA56EC5F9D8B951DF698E/S0924933821000110a.pdf/epa-guidance-on-assessment-of-negative-symptoms-in-schizophrenia.pdf</t>
  </si>
  <si>
    <t>https://www.europsy.net/app/uploads/2021/03/epa-guidance-on-treatment-of-negative-symptoms-in-schizophrenia.pdf</t>
  </si>
  <si>
    <t>https://www.cambridge.org/core/services/aop-cambridge-core/content/view/32291E7AE7D73DB9DDA2A4C7C91BD75A/S0924933822023161a.pdf/european-psychiatric-association-guidance-on-assessment-of-cognitive-impairment-in-schizophrenia.pdf</t>
  </si>
  <si>
    <t>https://www.cambridge.org/core/services/aop-cambridge-core/content/view/05427A144DAC7E7AC9C877F62A1FDD01/S092493382202315Xa.pdf/european-psychiatric-association-guidance-on-treatment-of-cognitive-impairment-in-schizophrenia.pdf</t>
  </si>
  <si>
    <t>https://www.tga.gov.au/sites/default/files/2024-06/guideline-clinical-investigation-medicinal-products-including-depot-preparations-treatment-schizophrenia-ema.pdf</t>
  </si>
  <si>
    <t>German Association for Psychiatry, Psychotherapy and Psychosomatics (DGPPN)</t>
  </si>
  <si>
    <t>https://www.camh.ca/</t>
  </si>
  <si>
    <t>https://braincanada.ca/</t>
  </si>
  <si>
    <t>https://www.hope4mentalhealth.ca/</t>
  </si>
  <si>
    <t>https://www.mhrc.ca/</t>
  </si>
  <si>
    <t>https://schizophrenia.ca/</t>
  </si>
  <si>
    <t>https://www.mhafoc.com/</t>
  </si>
  <si>
    <t>http://www.giuliaematteo.org/</t>
  </si>
  <si>
    <t>https://www.aitsam.it/</t>
  </si>
  <si>
    <t>https://progettoitaca.org/</t>
  </si>
  <si>
    <t>https://www.amafe.org/</t>
  </si>
  <si>
    <t>https://www.brainresearchuk.org.uk/</t>
  </si>
  <si>
    <t>https://eps.ac.uk/</t>
  </si>
  <si>
    <t>https://livingwithschizophreniauk.org/</t>
  </si>
  <si>
    <t>https://www.mentalhealth.org.uk/</t>
  </si>
  <si>
    <t>https://mentalhealth-uk.org/</t>
  </si>
  <si>
    <t>https://www.nationalbrainappeal.org/</t>
  </si>
  <si>
    <t>https://www.rethink.org/</t>
  </si>
  <si>
    <t>https://www.samh.org.uk/</t>
  </si>
  <si>
    <t>https://www.thebraincharity.org.uk/</t>
  </si>
  <si>
    <t>https://www.neural.org.uk/</t>
  </si>
  <si>
    <t>https://www.scottishneurological.org.uk/</t>
  </si>
  <si>
    <t>https://www.walesneurologicalalliance.org.uk/</t>
  </si>
  <si>
    <t>https://schizophreniaresearchfund.org.uk/</t>
  </si>
  <si>
    <t>https://www.johnhenry.org/</t>
  </si>
  <si>
    <t>https://sczaction.org/</t>
  </si>
  <si>
    <t>https://www.baerfoundation.com/</t>
  </si>
  <si>
    <t>https://curesz.org/</t>
  </si>
  <si>
    <t>https://www.nami.org/</t>
  </si>
  <si>
    <t>https://seishinhoken.jp/</t>
  </si>
  <si>
    <t>https://www.eufami.org/</t>
  </si>
  <si>
    <t>https://www.sane.org.uk/</t>
  </si>
  <si>
    <t>https://www.treatmentadvocacycenter.org/</t>
  </si>
  <si>
    <t>https://www.mind.org.uk/</t>
  </si>
  <si>
    <t>https://www.youngminds.org.uk/</t>
  </si>
  <si>
    <t>https://www.unafam.org/</t>
  </si>
  <si>
    <t>https://www.schizo-oui.com/</t>
  </si>
  <si>
    <t>https://www.schizoespoir.com/</t>
  </si>
  <si>
    <t>https://profamille.site/</t>
  </si>
  <si>
    <t>https://www.facebook.com/schizojeunes</t>
  </si>
  <si>
    <t>https://www.solidarite-rehabilitation.org/</t>
  </si>
  <si>
    <t>https://positiveminders.com/</t>
  </si>
  <si>
    <t>https://www.promesses-sz.fr/</t>
  </si>
  <si>
    <t>https://www.ma-schizophrenie.com/</t>
  </si>
  <si>
    <t>https://www.americanbraincoalition.org/</t>
  </si>
  <si>
    <t>https://www.fnapsy.org/</t>
  </si>
  <si>
    <t>https://consaludmental.org/</t>
  </si>
  <si>
    <t>http://www.unasam.it/</t>
  </si>
  <si>
    <t>https://www.aipp-italia.com/</t>
  </si>
  <si>
    <t>https://www.diapsigraprato.it/</t>
  </si>
  <si>
    <t>https://prepsy.fr/</t>
  </si>
  <si>
    <t>https://www.bapk.de/der-bapk.html</t>
  </si>
  <si>
    <t>https://www.together-uk.org/</t>
  </si>
  <si>
    <t>http://www.schizophrenia.com/index.html</t>
  </si>
  <si>
    <t>Relevance</t>
  </si>
  <si>
    <t>https://schizophreniaresearchsociety.org/</t>
  </si>
  <si>
    <t>https://www.anpaonline.org/</t>
  </si>
  <si>
    <t>https://www.fndsociety.org/</t>
  </si>
  <si>
    <t>https://www.psychonomic.org/</t>
  </si>
  <si>
    <t>https://www.psychiatry.org/</t>
  </si>
  <si>
    <t>https://abpn.org/</t>
  </si>
  <si>
    <t>https://inawebsite.org/</t>
  </si>
  <si>
    <t>https://esasnet.eu/</t>
  </si>
  <si>
    <t>https://www.iagp.com/</t>
  </si>
  <si>
    <t>https://www.psychotherapyresearch.org/</t>
  </si>
  <si>
    <t>Austria</t>
  </si>
  <si>
    <t>https://www.worldpsyche.org/</t>
  </si>
  <si>
    <t>Ireland</t>
  </si>
  <si>
    <t>https://www.euroaip.eu/</t>
  </si>
  <si>
    <t>https://www.europsyche.org/</t>
  </si>
  <si>
    <t>https://efpp.org/</t>
  </si>
  <si>
    <t>https://www.pce-world.org/</t>
  </si>
  <si>
    <t>https://www.pce-europe.org/</t>
  </si>
  <si>
    <t>https://iarpp.net/</t>
  </si>
  <si>
    <t>https://www.iabmcp.org/</t>
  </si>
  <si>
    <t>https://americanpsychotherapy.com/</t>
  </si>
  <si>
    <t>https://societyforpsychotherapy.org/</t>
  </si>
  <si>
    <t>https://apsa.org/</t>
  </si>
  <si>
    <t>https://www.agpa.org</t>
  </si>
  <si>
    <t>https://www.psychologicalscience.org/</t>
  </si>
  <si>
    <t>https://div12.org/</t>
  </si>
  <si>
    <t>https://spsp.org/</t>
  </si>
  <si>
    <t>https://www.aacap.org/</t>
  </si>
  <si>
    <t>https://theaacn.org/</t>
  </si>
  <si>
    <t>https://www.communitypsychiatry.org/</t>
  </si>
  <si>
    <t>https://aagponline.org/</t>
  </si>
  <si>
    <t>https://www.apna.org/</t>
  </si>
  <si>
    <t>https://www.abct.org/</t>
  </si>
  <si>
    <t>https://contextualscience.org/</t>
  </si>
  <si>
    <t>https://www.eaclipt.org/</t>
  </si>
  <si>
    <t>https://www.efpa.eu/</t>
  </si>
  <si>
    <t>https://icpweb.org/</t>
  </si>
  <si>
    <t>https://iepa.org.au/</t>
  </si>
  <si>
    <t>https://www.ipa.world/</t>
  </si>
  <si>
    <t>https://sccap53.org/</t>
  </si>
  <si>
    <t>https://apadiv1.org/</t>
  </si>
  <si>
    <t>https://www.psychleaders.org/</t>
  </si>
  <si>
    <t>https://scn40.org/</t>
  </si>
  <si>
    <t>https://abpsi.org/</t>
  </si>
  <si>
    <t>https://www.societyofconsultingpsychology.org/</t>
  </si>
  <si>
    <t>https://abpp.org/</t>
  </si>
  <si>
    <t>https://iaapsy.org/</t>
  </si>
  <si>
    <t>https://www.aacpsy.org/</t>
  </si>
  <si>
    <t>https://www.acadpsychclinicalscience.org/</t>
  </si>
  <si>
    <t>https://www.nanonline.org/nan</t>
  </si>
  <si>
    <t>https://iapsp.org/</t>
  </si>
  <si>
    <t>https://the-ins.org/</t>
  </si>
  <si>
    <t>https://soblackneuro.org/</t>
  </si>
  <si>
    <t>https://theabcn.org/</t>
  </si>
  <si>
    <t>https://www.abn-board.com/</t>
  </si>
  <si>
    <t>https://www.fesn.eu/</t>
  </si>
  <si>
    <t>https://sinpia.eu/</t>
  </si>
  <si>
    <t>https://sfpeada.fr/</t>
  </si>
  <si>
    <t>https://www.dgkjp.de/</t>
  </si>
  <si>
    <t>https://psichiatria.it/</t>
  </si>
  <si>
    <t>https://cpa.ca/</t>
  </si>
  <si>
    <t>https://ampsychfdn.org/</t>
  </si>
  <si>
    <t>https://ehps.net/</t>
  </si>
  <si>
    <t>https://www.neuro.it/web/eventi/NEURO/index.cfm</t>
  </si>
  <si>
    <t>https://aipass.org/</t>
  </si>
  <si>
    <t>https://www.jspn.or.jp/</t>
  </si>
  <si>
    <t>https://jssr.info/</t>
  </si>
  <si>
    <t>https://www.jsnp-org.jp/</t>
  </si>
  <si>
    <t>https://www.neurology-jp.org/</t>
  </si>
  <si>
    <t>https://japc.or.jp/</t>
  </si>
  <si>
    <t>http://www.jnpaonline.org/</t>
  </si>
  <si>
    <t>https://www.rounen.org/</t>
  </si>
  <si>
    <t>Asia</t>
  </si>
  <si>
    <t>https://www.afpa.asia/</t>
  </si>
  <si>
    <t>https://www.jsbp.org/</t>
  </si>
  <si>
    <t>https://www.nisseikyo.or.jp/</t>
  </si>
  <si>
    <t>http://www.kaiseikai.jp/index.php</t>
  </si>
  <si>
    <t>http://www.neuropsychology.gr.jp/</t>
  </si>
  <si>
    <t>http://www.brainscience-union.jp/</t>
  </si>
  <si>
    <t>https://www.ispsuk.org/</t>
  </si>
  <si>
    <t>https://isps.org/</t>
  </si>
  <si>
    <t>https://isps-us.org/</t>
  </si>
  <si>
    <t>https://www.ispsitalia.org/</t>
  </si>
  <si>
    <t>https://bnpa.org.uk/</t>
  </si>
  <si>
    <t>https://www.theabn.org/</t>
  </si>
  <si>
    <t>https://www.anmh.info/</t>
  </si>
  <si>
    <t>https://www.amhca.org/home</t>
  </si>
  <si>
    <t>https://www.ispn-psych.org/</t>
  </si>
  <si>
    <t>https://mhanational.org/</t>
  </si>
  <si>
    <t>https://www.europsy.net/</t>
  </si>
  <si>
    <t>https://www.wfmh.global/</t>
  </si>
  <si>
    <t>https://iawmh.org/</t>
  </si>
  <si>
    <t>https://www.ioptmh.org/</t>
  </si>
  <si>
    <t>https://www.mentalhealtheurope.org/</t>
  </si>
  <si>
    <t>https://www.centreforglobalmentalhealth.org/</t>
  </si>
  <si>
    <t>https://unitedgmh.org/</t>
  </si>
  <si>
    <t>https://www.eagp.com/</t>
  </si>
  <si>
    <t>https://www.acamh.org/</t>
  </si>
  <si>
    <t>https://www.icami.org/</t>
  </si>
  <si>
    <t>https://www.gamian.eu/</t>
  </si>
  <si>
    <t>https://iacapap.org/</t>
  </si>
  <si>
    <t>https://www.escap.eu/</t>
  </si>
  <si>
    <t>https://isnip.org/</t>
  </si>
  <si>
    <t>https://wfneurology.org/</t>
  </si>
  <si>
    <t>https://www.ean.org/</t>
  </si>
  <si>
    <t>https://www.uems-neuroboard.org/web/</t>
  </si>
  <si>
    <t>http://www.isnerem.com/</t>
  </si>
  <si>
    <t>https://www.ibnsconnect.org/</t>
  </si>
  <si>
    <t>https://www.sfn.org/</t>
  </si>
  <si>
    <t>https://www.cpa-apc.org/</t>
  </si>
  <si>
    <t>https://www.dgppn.de/</t>
  </si>
  <si>
    <t>https://www.apa.org/</t>
  </si>
  <si>
    <t>https://amhp.org.uk/</t>
  </si>
  <si>
    <t>https://neurologyacademy.org/</t>
  </si>
  <si>
    <t>https://www.wpanet.org/</t>
  </si>
  <si>
    <t>https://www.bps.org.uk/</t>
  </si>
  <si>
    <t>https://www.bna.org.uk/</t>
  </si>
  <si>
    <t>https://myana.org/</t>
  </si>
  <si>
    <t>https://cmha.ca/</t>
  </si>
  <si>
    <t>https://www.socpsych.org/</t>
  </si>
  <si>
    <t>https://www.cagp.ca/</t>
  </si>
  <si>
    <t>https://www.camimh.ca/</t>
  </si>
  <si>
    <t>https://can-acn.org/</t>
  </si>
  <si>
    <t>https://www.cnsf.org/</t>
  </si>
  <si>
    <t>https://www.cnsf.org/cns/about-cns/</t>
  </si>
  <si>
    <t>https://ibro.org/</t>
  </si>
  <si>
    <t>https://aepnya.es/</t>
  </si>
  <si>
    <t>https://sepsm.org/</t>
  </si>
  <si>
    <t>https://aen.es/</t>
  </si>
  <si>
    <t>https://www.anpir.org/</t>
  </si>
  <si>
    <t>https://www.sen.es/</t>
  </si>
  <si>
    <t>https://fneurociencias.org/</t>
  </si>
  <si>
    <t>https://fanpse.org/</t>
  </si>
  <si>
    <t>https://www.senc.es/</t>
  </si>
  <si>
    <t>https://fedepsychiatrie.fr/</t>
  </si>
  <si>
    <t>https://www.fens.org/</t>
  </si>
  <si>
    <t>https://dgn.org/</t>
  </si>
  <si>
    <t>https://nwg-info.de/</t>
  </si>
  <si>
    <t>https://www.gnp.de/index-en</t>
  </si>
  <si>
    <t>https://www.sepypna.com/</t>
  </si>
  <si>
    <t>https://www.cacap-acpea.org/</t>
  </si>
  <si>
    <t>https://child-adolesc.jp/</t>
  </si>
  <si>
    <t>https://bbrfoundation.org/</t>
  </si>
  <si>
    <t>https://nationalepinet.org/</t>
  </si>
  <si>
    <t>https://www.fondation-fondamental.org/</t>
  </si>
  <si>
    <t>https://mental.co.jp/</t>
  </si>
  <si>
    <t>https://www.jamhsw.or.jp/</t>
  </si>
  <si>
    <t>https://acnp.org/</t>
  </si>
  <si>
    <t>https://www.ecnp.eu/</t>
  </si>
  <si>
    <t>https://cinp.org/</t>
  </si>
  <si>
    <t>https://jscnp.org/</t>
  </si>
  <si>
    <t>http://www.szgene.org/</t>
  </si>
  <si>
    <t>https://www.rcpsych.ac.uk/home</t>
  </si>
  <si>
    <t>https://sepcys.es/</t>
  </si>
  <si>
    <t>https://jpna.jp/</t>
  </si>
  <si>
    <t>http://www.npo-jam.org/</t>
  </si>
  <si>
    <t>https://www.jabct.org/</t>
  </si>
  <si>
    <t>http://jact.umin.jp/</t>
  </si>
  <si>
    <t>https://psychosisresearch.com/</t>
  </si>
  <si>
    <t>https://www.aan.com/</t>
  </si>
  <si>
    <t>https://www.wapr.org/</t>
  </si>
  <si>
    <t>https://www.braincouncil.eu/</t>
  </si>
  <si>
    <t>Argentina</t>
  </si>
  <si>
    <t>https://wfsbp.org/</t>
  </si>
  <si>
    <t>https://www.bap.org.uk/</t>
  </si>
  <si>
    <t>https://enpp.eu/</t>
  </si>
  <si>
    <t>https://www.dgps.de/</t>
  </si>
  <si>
    <t>Australia</t>
  </si>
  <si>
    <t>https://www.nature.com/nature/about/editors</t>
  </si>
  <si>
    <t>https://www.science.org/journal/science</t>
  </si>
  <si>
    <t>https://www.cell.com/cell/editorial-board</t>
  </si>
  <si>
    <t>https://www.bmj.com/about-bmj</t>
  </si>
  <si>
    <t>https://annals.org/aim/pages/about-us</t>
  </si>
  <si>
    <t>https://www.nature.com/cr/about/editorial-board</t>
  </si>
  <si>
    <t>https://onlinelibrary.wiley.com/page/journal/1469185x/homepage/editorialboard.html</t>
  </si>
  <si>
    <t>https://journals.plos.org/plosmedicine/s/editorial-board</t>
  </si>
  <si>
    <t>https://www.embopress.org/page/journal/14602075/editors</t>
  </si>
  <si>
    <t>https://jamanetwork.com/journals/jama</t>
  </si>
  <si>
    <t>N/A</t>
  </si>
  <si>
    <t>https://academic.oup.com/schizbullopen</t>
  </si>
  <si>
    <t>https://onlinelibrary.wiley.com/journal/20515545</t>
  </si>
  <si>
    <t>https://www.thelancet.com/journals/laneur/home</t>
  </si>
  <si>
    <t>https://www.nature.com/nrn/</t>
  </si>
  <si>
    <t>https://www.nature.com/nrneurol/</t>
  </si>
  <si>
    <t>https://www.annualreviews.org/content/journals/psych</t>
  </si>
  <si>
    <t>https://jamanetwork.com/journals/jamapsychiatry</t>
  </si>
  <si>
    <t>https://www.nature.com/neuro/</t>
  </si>
  <si>
    <t>https://jamanetwork.com/journals/jamaneurology</t>
  </si>
  <si>
    <t>https://www.annualreviews.org/content/journals/clinpsy</t>
  </si>
  <si>
    <t>https://karger.com/pps</t>
  </si>
  <si>
    <t>https://psychiatryonline.org/ajp/about</t>
  </si>
  <si>
    <t>https://www.cell.com/trends/neurosciences/home</t>
  </si>
  <si>
    <t>https://www.sciencedirect.com/journal/clinical-psychology-review</t>
  </si>
  <si>
    <t>https://www.annualreviews.org/content/journals/neuro</t>
  </si>
  <si>
    <t>https://www.cambridge.org/core/journals/the-british-journal-of-psychiatry/information/about-this-journal</t>
  </si>
  <si>
    <t>https://www.tandfonline.com/journals/pers20</t>
  </si>
  <si>
    <t>https://www.sciencedirect.com/journal/biological-psychiatry</t>
  </si>
  <si>
    <t>https://www.apa.org/pubs/journals/apl</t>
  </si>
  <si>
    <t>https://www.sciencedirect.com/journal/journal-of-the-american-academy-of-child-and-adolescent-psychiatry</t>
  </si>
  <si>
    <t>https://onlinelibrary.wiley.com/journal/mij</t>
  </si>
  <si>
    <t>https://jnnp.bmj.com/</t>
  </si>
  <si>
    <t>https://onlinelibrary.wiley.com/journal/15318249</t>
  </si>
  <si>
    <t>https://www.cambridge.org/core/journals/european-psychiatry/information/about-this-journal</t>
  </si>
  <si>
    <t>https://journals.sagepub.com/home/psr</t>
  </si>
  <si>
    <t>https://journals.lww.com/co-psychiatry/pages/default.aspx</t>
  </si>
  <si>
    <t>https://www.sciencedirect.com/journal/neuroscience-and-biobehavioral-reviews</t>
  </si>
  <si>
    <t>https://iaap-journals.onlinelibrary.wiley.com/journal/14640597</t>
  </si>
  <si>
    <t>https://acamh.onlinelibrary.wiley.com/journal/14753588</t>
  </si>
  <si>
    <t>https://mentalhealth.bmj.com/</t>
  </si>
  <si>
    <t>https://www.tandfonline.com/journals/rhpr20</t>
  </si>
  <si>
    <t>https://www.clinicalneuropsychiatry.org/</t>
  </si>
  <si>
    <t>https://www.clinicalschizophrenia.net/</t>
  </si>
  <si>
    <t>https://www.sciencedirect.com/journal/current-opinion-in-psychology</t>
  </si>
  <si>
    <t>https://link.springer.com/journal/787/editors</t>
  </si>
  <si>
    <t>https://www.sciencedirect.com/journal/international-journal-of-clinical-and-health-psychology</t>
  </si>
  <si>
    <t>https://www.nature.com/tp/</t>
  </si>
  <si>
    <t>https://link.springer.com/journal/406</t>
  </si>
  <si>
    <t>https://www.nature.com/npjschz/</t>
  </si>
  <si>
    <t>https://www.sciencedirect.com/journal/biological-psychiatry-cognitive-neuroscience-and-neuroimaging</t>
  </si>
  <si>
    <t>https://link.springer.com/journal/11920</t>
  </si>
  <si>
    <t>https://link.springer.com/journal/11065</t>
  </si>
  <si>
    <t>https://academic.oup.com/schizophreniabulletin</t>
  </si>
  <si>
    <t>https://www.psychiatrist.com/jcp/about-jcp/</t>
  </si>
  <si>
    <t>https://gpsych.bmj.com/</t>
  </si>
  <si>
    <t>https://www.sciencedirect.com/journal/progress-in-neuro-psychopharmacology-and-biological-psychiatry</t>
  </si>
  <si>
    <t>https://onlinelibrary.wiley.com/journal/14401819</t>
  </si>
  <si>
    <t>https://mental.jmir.org/</t>
  </si>
  <si>
    <t>https://link.springer.com/journal/415</t>
  </si>
  <si>
    <t>https://link.springer.com/journal/11910</t>
  </si>
  <si>
    <t>https://onlinelibrary.wiley.com/journal/17555949</t>
  </si>
  <si>
    <t>https://www.apa.org/pubs/journals/cps</t>
  </si>
  <si>
    <t>https://onlinelibrary.wiley.com/journal/8604</t>
  </si>
  <si>
    <t>https://www.tandfonline.com/journals/uqrp20</t>
  </si>
  <si>
    <t>https://www.sciencedirect.com/journal/developmental-cognitive-neuroscience</t>
  </si>
  <si>
    <t>https://www.apa.org/pubs/journals/ccp</t>
  </si>
  <si>
    <t>https://onlinelibrary.wiley.com/journal/14681331</t>
  </si>
  <si>
    <t>https://www.sciencedirect.com/journal/the-american-journal-of-geriatric-psychiatry</t>
  </si>
  <si>
    <t>https://onlinelibrary.wiley.com/journal/23289503</t>
  </si>
  <si>
    <t>https://www.jneurosci.org/</t>
  </si>
  <si>
    <t>https://www.sciencedirect.com/journal/comprehensive-psychiatry</t>
  </si>
  <si>
    <t>https://www.sciencedirect.com/journal/psychiatry-research</t>
  </si>
  <si>
    <t>https://www.tandfonline.com/journals/hcap20</t>
  </si>
  <si>
    <t>https://jneurodevdisorders.biomedcentral.com/</t>
  </si>
  <si>
    <t>https://www.jpn.ca/</t>
  </si>
  <si>
    <t>https://journals.lww.com/co-neurology/pages/default.aspx</t>
  </si>
  <si>
    <t>https://www.neurology.org/journal/nxg</t>
  </si>
  <si>
    <t>https://bpspsychub.onlinelibrary.wiley.com/journal/20448260</t>
  </si>
  <si>
    <t>https://bpspsychub.onlinelibrary.wiley.com/journal/20448341</t>
  </si>
  <si>
    <t>https://www.wjgnet.com/2220-3206</t>
  </si>
  <si>
    <t>https://www.cambridge.org/core/journals/global-mental-health/information/about-this-journal</t>
  </si>
  <si>
    <t>https://link.springer.com/journal/40120</t>
  </si>
  <si>
    <t>https://journals.lww.com/hrpjournal/pages/default.aspx</t>
  </si>
  <si>
    <t>https://onlinelibrary.wiley.com/journal/10991166</t>
  </si>
  <si>
    <t>https://iaap-journals.onlinelibrary.wiley.com/journal/17580854</t>
  </si>
  <si>
    <t>https://apa.org/pubs/journals/cou</t>
  </si>
  <si>
    <t>https://www.apa.org/pubs/journals/xge</t>
  </si>
  <si>
    <t>https://www.apa.org/pubs/journals/pag</t>
  </si>
  <si>
    <t>https://www.sciencedirect.com/journal/schizophrenia-research</t>
  </si>
  <si>
    <t>https://link.springer.com/journal/127</t>
  </si>
  <si>
    <t>https://www.thieme.de/de/pharmacopsychiatry/journal-information-26553.htm</t>
  </si>
  <si>
    <t>https://journals.sagepub.com/home/RGP</t>
  </si>
  <si>
    <t>https://bpspsychub.onlinelibrary.wiley.com/journal/20448287</t>
  </si>
  <si>
    <t>https://capmh.biomedcentral.com/</t>
  </si>
  <si>
    <t>https://bmcpsychiatry.biomedcentral.com/</t>
  </si>
  <si>
    <t>https://onlinelibrary.wiley.com/journal/15732770</t>
  </si>
  <si>
    <t>https://www.degruyter.com/journal/key/revneuro/html?lang=en</t>
  </si>
  <si>
    <t>https://annals-general-psychiatry.biomedcentral.com/</t>
  </si>
  <si>
    <t>https://journals.sagepub.com/home/CPA</t>
  </si>
  <si>
    <t>https://onlinelibrary.wiley.com/journal/1464066X</t>
  </si>
  <si>
    <t>https://www.tandfonline.com/journals/iirp20</t>
  </si>
  <si>
    <t>https://www.frontiersin.org/journals/psychiatry</t>
  </si>
  <si>
    <t>https://link.springer.com/journal/737</t>
  </si>
  <si>
    <t>https://onlinelibrary.wiley.com/journal/10990879</t>
  </si>
  <si>
    <t>https://bpspsychub.onlinelibrary.wiley.com/journal/20448295</t>
  </si>
  <si>
    <t>https://www.sciencedirect.com/journal/journal-of-experimental-social-psychology</t>
  </si>
  <si>
    <t>https://www.mdpi.com/journal/neurolint</t>
  </si>
  <si>
    <t>https://academic.oup.com/jnen</t>
  </si>
  <si>
    <t>https://www.frontiersin.org/journals/neuroscience</t>
  </si>
  <si>
    <t>https://direct.mit.edu/jocn</t>
  </si>
  <si>
    <t>https://www.sciencedirect.com/journal/autonomic-neuroscience</t>
  </si>
  <si>
    <t>https://ijmhs.biomedcentral.com/</t>
  </si>
  <si>
    <t>https://www.apa.org/pubs/journals/abn/index</t>
  </si>
  <si>
    <t>https://www.apa.org/pubs/journals/hea</t>
  </si>
  <si>
    <t>https://online.ucpress.edu/collabra</t>
  </si>
  <si>
    <t>https://academic.oup.com/nc</t>
  </si>
  <si>
    <t>https://www.aimspress.com/journal/neuroscience</t>
  </si>
  <si>
    <t>https://www.sciencedirect.com/journal/journal-of-the-academy-of-consultation-liaison-psychiatry</t>
  </si>
  <si>
    <t>https://www.tandfonline.com/journals/iwbp20/about-this-journal#aims-and-scope</t>
  </si>
  <si>
    <t>https://journals.sagepub.com/home/smh</t>
  </si>
  <si>
    <t>https://ejop.psychopen.eu/index.php/ejop</t>
  </si>
  <si>
    <t>https://www.sciencedirect.com/journal/cognitive-psychology</t>
  </si>
  <si>
    <t>https://www.tandfonline.com/journals/ijmh20</t>
  </si>
  <si>
    <t>https://www.apa.org/pubs/journals/cap</t>
  </si>
  <si>
    <t>https://journals.sagepub.com/home/exn</t>
  </si>
  <si>
    <t>https://onlinelibrary.wiley.com/journal/10974547</t>
  </si>
  <si>
    <t>https://www.sciencedirect.com/journal/neuroscience</t>
  </si>
  <si>
    <t>https://www.tandfonline.com/journals/camh20</t>
  </si>
  <si>
    <t>https://www.tandfonline.com/journals/dprb20</t>
  </si>
  <si>
    <t>https://journals.sagepub.com/home/jgp</t>
  </si>
  <si>
    <t>https://www.tandfonline.com/journals/upsy20</t>
  </si>
  <si>
    <t>https://www.sciencedirect.com/journal/biological-psychology</t>
  </si>
  <si>
    <t>https://onlinelibrary.wiley.com/journal/10991298</t>
  </si>
  <si>
    <t>https://www.apa.org/pubs/journals/xap</t>
  </si>
  <si>
    <t>https://bmcpsychology.biomedcentral.com/</t>
  </si>
  <si>
    <t>https://www.frontiersin.org/journals/neurology</t>
  </si>
  <si>
    <t>https://onlinelibrary.wiley.com/journal/3037</t>
  </si>
  <si>
    <t>https://onlinelibrary.wiley.com/journal/14609568</t>
  </si>
  <si>
    <t>https://www.sciencedirect.com/journal/journal-of-neuroscience-methods</t>
  </si>
  <si>
    <t>https://www.tandfonline.com/journals/iacp20</t>
  </si>
  <si>
    <t>https://www.press.jhu.edu/journals/philosophy-psychiatry-psychology</t>
  </si>
  <si>
    <t>https://www.tandfonline.com/journals/tpsr20</t>
  </si>
  <si>
    <t>https://www.apa.org/pubs/journals/pst</t>
  </si>
  <si>
    <t>https://www.frontiersin.org/journals/psychology</t>
  </si>
  <si>
    <t>https://www.tandfonline.com/journals/pcgn20</t>
  </si>
  <si>
    <t>https://www.apa.org/pubs/journals/neu</t>
  </si>
  <si>
    <t>https://www.frontiersin.org/journals/behavioral-neuroscience</t>
  </si>
  <si>
    <t>https://www.frontiersin.org/journals/integrative-neuroscience</t>
  </si>
  <si>
    <t>https://www.fortunejournals.com/journal-of-psychiatry-and-psychiatric-disorders-aimsscope-jppd.php</t>
  </si>
  <si>
    <t>https://www.sciencedirect.com/journal/the-european-journal-of-psychiatry</t>
  </si>
  <si>
    <t>https://journals.sagepub.com/home/hpq</t>
  </si>
  <si>
    <t>https://onlinelibrary.wiley.com/journal/10974679</t>
  </si>
  <si>
    <t>https://journals.sagepub.com/home/jbp</t>
  </si>
  <si>
    <t>https://link.springer.com/journal/12144</t>
  </si>
  <si>
    <t>https://link.springer.com/journal/13415</t>
  </si>
  <si>
    <t>https://www.imrpress.com/journal/JIN</t>
  </si>
  <si>
    <t>https://www.appi.org/Journal_of_Neuropsychiatry_and_Clinical_Neurosciences</t>
  </si>
  <si>
    <t>https://www.tandfonline.com/journals/rhpb20</t>
  </si>
  <si>
    <t>https://www.tandfonline.com/journals/gpsh20</t>
  </si>
  <si>
    <t>https://pn.bmj.com/</t>
  </si>
  <si>
    <t>https://www.frontiersin.org/journals/human-neuroscience</t>
  </si>
  <si>
    <t>https://bmcneurosci.biomedcentral.com/</t>
  </si>
  <si>
    <t>https://www.sciencedirect.com/journal/neuroscience-research</t>
  </si>
  <si>
    <t>https://cab.unime.it/journals/index.php/MJCP/index</t>
  </si>
  <si>
    <t>https://www.sciencedirect.com/journal/schizophrenia-research-cognition</t>
  </si>
  <si>
    <t>https://www.sciencedirect.com/journal/mental-health-and-physical-activity</t>
  </si>
  <si>
    <t>https://psychiatryonline.org/journal/apt</t>
  </si>
  <si>
    <t>https://onlinelibrary.wiley.com/journal/jtsp</t>
  </si>
  <si>
    <t>https://www.tandfonline.com/journals/cphm20</t>
  </si>
  <si>
    <t>https://www.sciencedirect.com/journal/new-ideas-in-psychology</t>
  </si>
  <si>
    <t>https://www.cambridge.org/core/journals/spanish-journal-of-psychology</t>
  </si>
  <si>
    <t>https://onlinelibrary.wiley.com/journal/10969861</t>
  </si>
  <si>
    <t>https://karger.com/dne</t>
  </si>
  <si>
    <t>https://hpr.termedia.pl/About-the-Journal,3418.html</t>
  </si>
  <si>
    <t>https://www.tandfonline.com/journals/vjrl20</t>
  </si>
  <si>
    <t>https://www.apa.org/pubs/journals/xlm</t>
  </si>
  <si>
    <t>https://www.neurology.org/journal/cpj</t>
  </si>
  <si>
    <t>https://bmcneurol.biomedcentral.com/</t>
  </si>
  <si>
    <t>https://www.scitechnol.com/international-journal-of-mental-health-and-psychiatry.php</t>
  </si>
  <si>
    <t>https://onlinelibrary.wiley.com/journal/17517893</t>
  </si>
  <si>
    <t>https://academic.oup.com/acn</t>
  </si>
  <si>
    <t>https://onlinelibrary.wiley.com/journal/10990720</t>
  </si>
  <si>
    <t>https://www.hogrefe.com/us/journal/european-journal-of-health-psychology</t>
  </si>
  <si>
    <t>https://karger.com/ene</t>
  </si>
  <si>
    <t>https://link.springer.com/journal/40473</t>
  </si>
  <si>
    <t>https://onlinelibrary.wiley.com/journal/1932863X</t>
  </si>
  <si>
    <t>https://healthpsychologyresearch.openmedicalpublishing.org/</t>
  </si>
  <si>
    <t>https://bpspsychub.onlinelibrary.wiley.com/journal/17486653</t>
  </si>
  <si>
    <t>https://www.sciencedirect.com/journal/ibro-neuroscience-reports</t>
  </si>
  <si>
    <t>https://www.tandfonline.com/journals/pcns20</t>
  </si>
  <si>
    <t>https://austinpublishinggroup.com/psychiatry-mental-disorders/</t>
  </si>
  <si>
    <t>https://austinpublishinggroup.com/schizophrenia/</t>
  </si>
  <si>
    <t>https://link.springer.com/journal/10597</t>
  </si>
  <si>
    <t>https://www.tandfonline.com/journals/ncen20</t>
  </si>
  <si>
    <t>https://www.sciencedirect.com/journal/mental-health-and-prevention</t>
  </si>
  <si>
    <t>https://www.sciencedirect.com/journal/journal-of-behavior-therapy-and-experimental-psychiatry</t>
  </si>
  <si>
    <t>https://www.emeraldgrouppublishing.com/journal/jpmh</t>
  </si>
  <si>
    <t>https://www.tandfonline.com/journals/umid20</t>
  </si>
  <si>
    <t>https://www.tandfonline.com/journals/hdvn20</t>
  </si>
  <si>
    <t>https://www.tandfonline.com/journals/nanc20</t>
  </si>
  <si>
    <t>https://www.tandfonline.com/journals/pcnp20/about-this-journal#aims-and-scope</t>
  </si>
  <si>
    <t>https://www.tandfonline.com/journals/mimh20</t>
  </si>
  <si>
    <t>https://www.tandfonline.com/journals/ramh20</t>
  </si>
  <si>
    <t>https://www.tandfonline.com/journals/hapn21</t>
  </si>
  <si>
    <t>https://onlinelibrary.wiley.com/journal/1931227x</t>
  </si>
  <si>
    <t>https://www.emeraldgrouppublishing.com/journal/amhid#journal_aims_scope</t>
  </si>
  <si>
    <t>https://www.tandfonline.com/journals/rpsy20</t>
  </si>
  <si>
    <t>https://journals.sagepub.com/home/ijp</t>
  </si>
  <si>
    <t>https://www.techscience.com/journal/IJMHP</t>
  </si>
  <si>
    <t>https://www.emeraldgrouppublishing.com/journal/mhrj</t>
  </si>
  <si>
    <t>DRKS00017055 - Do antipsychotic agents induce dopaminergic supersensitivity in humans? A PET/MR-study in patients with schizophrenia</t>
  </si>
  <si>
    <t>DRKS00017577 - Implementation of the patient version of the evidence-based (S3) guideline for psychosocial interventions for patients with severe mental illness (IMPPETUS): a cluster randomised controlled study</t>
  </si>
  <si>
    <t>DRKS00018083 - Goals in Focus: CBT for Motivational Negative Symptoms of Psychosis - a Randomized-controlled Feasibility Trial (GIF)</t>
  </si>
  <si>
    <t>DRKS00019079 - Dopaminergic mechanisms of reinforcement learning and working memory deficits in schizophrenia patients</t>
  </si>
  <si>
    <t>DRKS00019825 - A retrospective study of cognitive impairments in general psychiatric patients using a screening instrument</t>
  </si>
  <si>
    <t>DRKS00020476 - Optimizing adherence to lifestyle interventions in persons with schizophrenia spectrum disorder</t>
  </si>
  <si>
    <t>DRKS00022190 - Individualized Metacognitive Therapy (MCT+) for patients with schizophrenia - 5 year follow-up</t>
  </si>
  <si>
    <t>DRKS00022214 - Validation of a Single-Subject Treatment Outcome Predictor for Repetitive Transcranial Magnetic Stimulation (rTMS) to Improve Negative Symptoms in Schizophrenia</t>
  </si>
  <si>
    <t>DRKS00022351 - Combined effects of transcraniel Direct Current Stimulation and cognitive remediation on impairments in executive functions in patients with schizophrenia.</t>
  </si>
  <si>
    <t>DRKS00023143 - Acetyl- and butyrylcholinesterase-activity in patients with schizophrenic disorders</t>
  </si>
  <si>
    <t>DRKS00023907 - The link between physical fitness and the reward system in schizophrenia</t>
  </si>
  <si>
    <t>DRKS00024178 - Bodily Self-Awareness in the Schizophrenic Spectrum: A Series of Virtual Reality Experiments</t>
  </si>
  <si>
    <t>DRKS00024978 - Survey of people with severe mental illnesses on attitudes, preferences and experience regarding weight management interventions</t>
  </si>
  <si>
    <t>DRKS00025885 - The neural correlates of action-perception coupling in schizophrenia: Impaired recalibration and cross-modal transfer of forward model predictions.</t>
  </si>
  <si>
    <t>DRKS00025907 - Development and neurobiological investigation of a social-cognitive intervention for patients with schizophrenia</t>
  </si>
  <si>
    <t>DRKS00026118 - Investigating group-specific differences and correlations of the severity of psychiatric symptoms with passive monitoring and ecological momentary assessments via smartphonebased assessments in patients with depression or schizophrenia</t>
  </si>
  <si>
    <t>DRKS00026231 - Study on social interactions in psychotic patients in the Soteria</t>
  </si>
  <si>
    <t>DRKS00027002 - Determination of predictors of mental illness based on retrospective analyses of clinical and structural imaging data collected from patients during their inpatient stay at the LVR-Klinikum Düsseldorf - Kliniken der Heinrich-Heine-Universität Düsseldorf</t>
  </si>
  <si>
    <t>DRKS00027316 - EVENT: use of an evidence-based shared decision support tool on antipsychotics for hospitalised patients with schizophrenia</t>
  </si>
  <si>
    <t>DRKS00028050 - Constance Longitudinal Imaging of Psychosis Treatment Effects: fMRI</t>
  </si>
  <si>
    <t>DRKS00028895 - Structured implementation of digital, systematically updated guideline recommendations for enhanced therapeutic adherence in schizophrenia.</t>
  </si>
  <si>
    <t>DRKS00029044 - Effects of add-on Celecoxib treatment in patients with schizophrenia spectrum disorders and inflammatory cytokine profile (TargetFlame)</t>
  </si>
  <si>
    <t>DRKS00030631 - Neuroimaging of NMDA-sensitive Biomarkers in the Schizophrenia Spectrum</t>
  </si>
  <si>
    <t>DRKS00031680 - Illusory social perception and interpersonal predictive coding in patients with schizophrenia.</t>
  </si>
  <si>
    <t>DRKS00032316 - Combining Clemastine and Aerobic Exercise to Treat Cognitive Dysfunction in Schizophrenia by Targeting Myelin Plasticity</t>
  </si>
  <si>
    <t>DRKS00034230 - Cognitive training for patients with schizophrenia in forensic psychiatry: a pilot study</t>
  </si>
  <si>
    <t>DRKS00034544 - Effectiveness of the Metacognitive Training for Psychosis as an Online Group Intervention</t>
  </si>
  <si>
    <t>ISRCTN11998005 - Light-dark and activity rhythm therapy for sleep: feasibility and acceptability in schizophrenia spectrum disorders (L-DART FitSz)</t>
  </si>
  <si>
    <t>ISRCTN18419418 - Metabolic syndrome in people treated with antipsychotics: a multimethod investigation of genetic, behavioural and environmental risk factors</t>
  </si>
  <si>
    <t>ISRCTN21141466 - Daily time use, physical activity, quality of care and interpersonal relationships in patients with schizophrenia spectrum disorders: an Italian multicentre study</t>
  </si>
  <si>
    <t>ISRCTN35980117 - AVATAR_VRSocial therapy for early psychosis: a single-blind parallel-group randomised controlled feasibility trial</t>
  </si>
  <si>
    <t>ISRCTN49498363 - Reducing relapse for people with schizophrenia in Indonesia: developing a culturally-relevant, evidence-based family intervention</t>
  </si>
  <si>
    <t>ISRCTN55682735 - Optimising AVATAR therapy for distressing voices: study protocol for the AVATAR2 multi-centre randomised controlled trial</t>
  </si>
  <si>
    <t>ISRCTN56047723 - EVaLuation of TAcs effect by adVanced neurocomputational methods in schizophreniA</t>
  </si>
  <si>
    <t>ISRCTN77257074 - AnTiconvuLsant AugmeNtation Trial In Schizophrenia: a randomised, pragmatic double-blind, placebo-controlled trial to assess the effectiveness of valproate augmentation of antipsychotic treatment in patients with residual psychotic symptoms</t>
  </si>
  <si>
    <t>ISRCTN81150786 - iMAgery focused therapy for PSychosis-2 (iMAPS-2): A feasibility randomised controlled trial</t>
  </si>
  <si>
    <t>ISRCTN93382525 - Multisite randomised controlled trial of trauma-focused cognitive behaviour therapy for psychosis (TF-CBTp) to reduce post-traumatic stress disorder (PTSD) symptoms in patients with co-morbid PTSD and psychosis, compared to treatment as usual: the STAR (Study of Trauma And Recovery) trial</t>
  </si>
  <si>
    <t>jRCT1020210045 - Effects of Social Cognition and Interaction Training (SCIT) on Employment for Patients with Schizophrenia</t>
  </si>
  <si>
    <t>jRCT1030210661 - Tree drawing test and drawing process</t>
  </si>
  <si>
    <t>jRCT1030220303 - Cross-sectional analysis of psychiatric disorders based on AMPA receptor density</t>
  </si>
  <si>
    <t>jRCT1030240216 - A study of effectiveness of Remimazolam in Modified Electroconvulsive Therapy: Prospective study</t>
  </si>
  <si>
    <t>jRCT1032230108 - Multimodal Imaging Studies of Neural Circuit Dynamics of the Self</t>
  </si>
  <si>
    <t>jRCT1041210028 - Effectiveness of sofpironium bromaide gel for clozapine-induced hypersalivation in patients with treatment-ressistant schizophrenia:A double-blind comparative study (Effectiveness of ECCLOCKgel for clozapine-induced hypersalivation)</t>
  </si>
  <si>
    <t>jRCT1050210142 - Evaluation of the effectiveness of a nursing support program to enhance family resilience in people with schizophrenia</t>
  </si>
  <si>
    <t>jRCT1050220083 - The relationship social function and autonomic nerve deficit in schizophrenia</t>
  </si>
  <si>
    <t>jRCT1060220026 - A Feasibility Study of Case Management by Psychiatric Care Providers to Improve Access to Cancer Screening for Patients with Schizophrenia in Usual Clinical Practice (ACCESS2)</t>
  </si>
  <si>
    <t>jRCT1060240011 - The Impact of Sessions in Nursing Patients with Schizophrenia Comparison of Video Calls and Face-to-Face -Series of N-of-1 Trials-</t>
  </si>
  <si>
    <t>jRCT1080225178 - A observational study using a wearable device for patients with schizophrenia</t>
  </si>
  <si>
    <t>jRCT2011210024 - An Open-label, Long-term Study of SM-13496 (Lurasidone Hydrochloride) in Adolescent Subjects with Schizophrenia [Phase 3]</t>
  </si>
  <si>
    <t>jRCT2031200287 - PHASE 2, RANDOMIZED, DOUBLE-BLIND, PLACEBO-CONTROLLED STUDY TO ASSESS THE EFFECTS OF RO6889450 (RALMITARONT) IN PATIENTS WITH SCHIZOPHRENIA OR SCHIZOAFFECTIVE DISORDER AND NEGATIVE SYMPTOMS</t>
  </si>
  <si>
    <t>jRCT2031200288 - A PHASE II, MULTI-CENTER, RANDOMIZED, DOUBLE-BLIND, PARALLEL GROUP, PLACEBO-CONTROLLED TRIAL OF THE EFFICACY AND THE SAFETY OF RO6889450 (RALMITARONT) VS. PLACEBO IN PATIENTS WITH AN ACUTE EXACERBATION OF SCHIZOPHRENIA OR SCHIZOAFFECTIVE DISORDER</t>
  </si>
  <si>
    <t>jRCT2031210241 - A phase III randomized, double-blind, placebo-controlled, parallel group trial to examine the efficacy and safety of BI 425809 once daily over 26 week treatment period in patients with schizophrenia (CONNEX-2)</t>
  </si>
  <si>
    <t>jRCT2031210251 - A phase III randomized, double-blind, placebo-controlled parallel group trial to examine the efficacy and safety of BI 425809 once daily over 26-week treatment period in patients with schizophrenia (CONNEX-1) (CONNEX-1)</t>
  </si>
  <si>
    <t>jRCT2061210051 - A Multicenter, Open-label, Clinical Pharmacology Trial to Determine the Pharmacokinetics, Tolerability, and Safety of Brexpiprazole Long Acting Injectable (LAI) Administered as a Single Dose in Patients With Schizophrenia(A Clinical Pharmacology Trial of Brexpiprazole Long Acting Injectable (LAI) Administered as a Single Dose in Patients With Schizophrenia )</t>
  </si>
  <si>
    <t>jRCT2061220034 - An open label, single arm, extension trial to examine long-term safety of BI 425809 once daily in patients with schizophrenia who have completed previous BI 425809 Phase III trials.(CONNEX-X)</t>
  </si>
  <si>
    <t>jRCT2071210003 - A Randomized, Double-blind, Parallel-group, Placebo-controlled, Fixed-dose, Multicenter Study to Evaluate the Efficacy and Safety of SEP-363856 in Acutely Psychotic Patients with Schizophrenia, Followed by an Open-label Extension Phase</t>
  </si>
  <si>
    <t>jRCT2071210040 - Safety, tolerability, and pharmacokinetics of single rising oraldoses of BI 474121 in healthy Japanese male subjects (doubleblind,randomised, placebo-controlled, parallel group design)</t>
  </si>
  <si>
    <t>jRCTs031190197 - The relationship of AMPA receptor density in patients with schizophrenia: A transversal PET study using [11C] K-2</t>
  </si>
  <si>
    <t>jRCTs031200050 - Effects of sodium benzoate on glutamate and glutathione levels in patients with treatment-resistant schizophrenia</t>
  </si>
  <si>
    <t>jRCTs031200258 - Study of the efficacy of brexpiprazole on comorbid social anxiety symptoms in schizophrenia -multicenter, open-label, single-arm trial-(BREX-SASS)</t>
  </si>
  <si>
    <t>jRCTs031200338 - Study to investigate the effects of the combined use of lurasidone and cognitive function rehabilitation (NEAR) on cognitive function in patients with schizophrenia (VICTORY-S)</t>
  </si>
  <si>
    <t>jRCTs032190089 - Exploratory Research to Assess Usability of the Digital Medicine System (Proteus Digital Medicine Systems and Otsuka Medical Software) in Patients with Schizophrenia or Schizoaffective Disorder</t>
  </si>
  <si>
    <t>jRCTs032190244 - A research for clinical application of real-time functional magnetic resonance imaging neurofeedback for treatment of schizophrenia</t>
  </si>
  <si>
    <t>jRCTs032200028 - Study on brain function disease treatment with iterative transcranial magnetism stimulation method applicationusing the cognitive function improvement</t>
  </si>
  <si>
    <t>jRCTs032210059 - Integrative precision neuromodulation therapy for psychiatric disorders: an open-label, pilot, umbrella basket study (integrative Precision Neuromodulation Therapy: an Umbrella Basket study (iPNT-UB))</t>
  </si>
  <si>
    <t>jRCTs032210197 - Development of a diagnostic medical device program for mental disorders</t>
  </si>
  <si>
    <t>jRCTs032220691 - Development of next-generation neuromodulatory therapeutics by quadripulse transcranial magnetic stimulation for Schizophrenia and Autism Spectrum Disorder (Next-generation neuromodulatory therapeutics by QPS for schizophrenia and ASD)</t>
  </si>
  <si>
    <t>jRCTs041210019 - Sensory evaluation for bitterness of asenapine using sorbitol pretreatment</t>
  </si>
  <si>
    <t>jRCTs052230030 - Therapeutic application of EEG functional connectivity neurofeedback for schizophrenia</t>
  </si>
  <si>
    <t>NCT00916201 - Evaluation of Potential Central Glucoregulatory Compounds to Treat/Ameliorate the Symptoms of Schizophrenia: a Proof-of-concept Study in Healthy Volunteers.</t>
  </si>
  <si>
    <t>NCT02361554 - Deep Brain Stimulation in Treatment Resistant Schizophrenia</t>
  </si>
  <si>
    <t>NCT02670447 - Early Identification of Patients Presenting a First Psychotic Episode, Non Answering to First Line Support Strategies: A Multicentric Study</t>
  </si>
  <si>
    <t>NCT03575000 - Open-label, Flexible-dose Adjunctive Bromocriptine for Patients With Schizophrenia and Prediabetes</t>
  </si>
  <si>
    <t>NCT03708315 - Safety and Efficacy of BXCL501, a Sublingual Film Delivery of Dexmedetomidine for the Treatment of Acute Agitation in Schizophrenia</t>
  </si>
  <si>
    <t>NCT03807388 - The Use of ReMindCare Application for Smartphone in Treatment of Patients From First Episode of Psychosis Unit in the Clinic Hospital of Valencia, Spain.</t>
  </si>
  <si>
    <t>NCT03818256 - A Phase 2, Randomized, Double-Blind, Placebo-Controlled Study Evaluating the Safety, Efficacy, and Pharmacokinetics of Miricorilant (CORT118335) in Obese Adult Patients With Schizophrenia or Bipolar Disorder and Recent Weight Gain While Taking Antipsychotic Medications (GRATITUDE)</t>
  </si>
  <si>
    <t>NCT03818516 - Impact of Inflammation on Reward Circuits, Motivational Deficits and Negative Symptoms in Schizophrenia</t>
  </si>
  <si>
    <t>NCT03900754 - A Pharmaco-imaging Approach to Predicting Social Functioning and Clinical Responses to Oxytocin Administration in Schizophrenia</t>
  </si>
  <si>
    <t>NCT03911726 - Do Antipsychotic Agents Induce Supersensitivity in Humans: A Combined PET/MRI Study in Patients With Schizophrenia</t>
  </si>
  <si>
    <t>NCT03919760 - Enhancing Evidence-Based Practice for Youth and Emerging Adults With Early Psychosis: Implementation and Evaluation in Diverse Service Settings</t>
  </si>
  <si>
    <t>NCT03943537 - Effects of Intranasal Insulin on Neuroimaging Markers and Cognition in Patients With Psychotic Disorders</t>
  </si>
  <si>
    <t>NCT03953664 - The Effects of Three Different Modalities of Exercise Training (Aerobic, Strength, Aerobic-strength) on Psychological and Physiological Correlates in Schizophrenia: a Randomized Clinical Trial</t>
  </si>
  <si>
    <t>NCT03959735 - Is the Use of High Intensity Interval Training (HIIT) Feasible and Acceptable Amongst Inpatients With Severe Mental Illness (SMI)? A Pilot Study</t>
  </si>
  <si>
    <t>NCT03971487 - Ocrelizumab for Psychoses Possibly Caused by Synaptic Autoimmunity</t>
  </si>
  <si>
    <t>NCT03972735 - Randomized Controlled Study on the Efficacy of the NECT Program (Cognitive Therapy and Narrative Development) on Improving Social Functioning in People With Severe Psychic Disorders</t>
  </si>
  <si>
    <t>NCT03975400 - Using Digital Media Advertising to Reduce the Duration of Untreated Psychosis</t>
  </si>
  <si>
    <t>NCT03995368 - New Applications of Neuroplasticity Biomarkers in Veterans With Traumatic Brain Injury or Schizophrenia</t>
  </si>
  <si>
    <t>NCT03995420 - Virtual Reality Supported Therapy for the Negative Symptoms of Psychosis</t>
  </si>
  <si>
    <t>NCT03999112 - A Case Series Examination of Metacognitive Reflection and Insight Therapy (MERIT) on Individual Negative Symptoms of Schizophrenia</t>
  </si>
  <si>
    <t>NCT04001114 - Cigarette Smoking in Smokers With and Without a Diagnosis of Schizophrenia</t>
  </si>
  <si>
    <t>NCT04004364 - Early-Phase Schizophrenia: Practice-based Research to Improve Outcomes</t>
  </si>
  <si>
    <t>NCT04004416 - Multi-modal Assessment of GABA Function in Psychosis</t>
  </si>
  <si>
    <t>NCT04005794 - Physiology-based Virtual Reality Training for Social Skills in Schizophrenia</t>
  </si>
  <si>
    <t>NCT04011280 - Novel Pharmacotherapy Approaches in Smokers With Serious Mental Illness</t>
  </si>
  <si>
    <t>NCT04013555 - The Effects of Kynurenine Aminotransferase Inhibition in People With Schizophrenia</t>
  </si>
  <si>
    <t>NCT04024371 - Validating Reward-related Biomarkers to Facilitate Development of New Treatments for Anhedonia and Reward Processing Deficits in Schizophrenia and Major Depressive Disorder</t>
  </si>
  <si>
    <t>NCT04025502 - A Multi-Center Study of Event-Related Potential (ERP) Biomarkers in Subjects With Schizophrenia and Healthy Volunteer Subjects</t>
  </si>
  <si>
    <t>NCT04025905 - REMEDEMPLOI: Social Cognition Training and Vocational Rehabilitation</t>
  </si>
  <si>
    <t>NCT04030143 - A Phase 1b, Open-label, Multiple-dose, Randomized, Parallel-arm, Safety, Tolerability, and Pharmacokinetic Trial of Aripiprazole Intramuscular Depot Administered in the Gluteal Muscle in Adult Subjects With Schizophrenia or Bipolar I Disorder</t>
  </si>
  <si>
    <t>NCT04033679 - The Effects of Adjunctive Transcranial Direct Current Stimulation on Treatment Adherence in Schizophrenia</t>
  </si>
  <si>
    <t>NCT04033978 - Cerebral Impact of Cognitive Remediation for People Suffering From Schizophrenia</t>
  </si>
  <si>
    <t>NCT04038840 - Imaging Synapses With [11C] UCB-J in the Human Brain</t>
  </si>
  <si>
    <t>NCT04038957 - An Open-Label Positron Emission Tomography Study to Investigate the Effect of Adjunctive Administration of SEP-363856 on Brain Dopamine Synthesis Capacity Using 18F-DOPA in Adult Subjects With Schizophrenia</t>
  </si>
  <si>
    <t>NCT04046497 - Early-phase Schizophrenia: Practice-based Research to Improve Outcomes (ESPRITO) - Using Artificial Intelligence to Measure Adherence to Oral Medication</t>
  </si>
  <si>
    <t>NCT04054973 - An Open-label Feasibility Trial of Adjunctive L-arginine and Tetrahydrobiopterin Combination in Patients With Treatment Resistant Schizophrenia</t>
  </si>
  <si>
    <t>NCT04068467 - Evaluation of mHealth for Serious Mental Illness</t>
  </si>
  <si>
    <t>NCT04068857 - Effects of Precuneus Repetitive Transcranial Magnetic Stimulation (rTMS) on Self-Referential Processing and Default Mode Network Functional Connectivity in Early Phase Psychosis</t>
  </si>
  <si>
    <t>NCT04072354 - A Randomized, Double-blind, Parallel-group, Placebo-controlled, Fixed-dose, Multicenter Study to Evaluate the Efficacy and Safety of SEP-363856 in Acutely Psychotic Subjects With Schizophrenia</t>
  </si>
  <si>
    <t>NCT04072575 - Single-arm, Open-label Extension to a Double-blind, Randomized, Active-controlled, Parallel-group Study of Paliperidone Palmitate 6-Month Formulation</t>
  </si>
  <si>
    <t>NCT04106960 - Quantitative Investigation of the Association Between the Social and Physical Features of the Environment and Participation for Those With Complex Mental Health Difficulties Living in Supported Accommodation</t>
  </si>
  <si>
    <t>NCT04109950 - An Open-label Extension Study to Assess the Safety and Tolerability of SEP-363856 in Subjects With Schizophrenia</t>
  </si>
  <si>
    <t>NCT04115319 - A Randomized, Double-blind, Active Comparator-Controlled Study to Evaluate the Long-term Safety and Tolerability of SEP-363856 in Subjects With Schizophrenia</t>
  </si>
  <si>
    <t>NCT04118127 - A Multi-center, Open-label Clinical Pharmacology Trial to Investigate the Pharmacokinetics, Tolerability, and Safety of Brexpiprazole Once-weekly (QW) Formulation Administered as Single and Multiple Oral Doses in Patients With Schizophrenia</t>
  </si>
  <si>
    <t>NCT04118283 - Improving the Assessment and Treatment of Chronic Pain in Veterans With Serious Mental Illness</t>
  </si>
  <si>
    <t>NCT04123223 - Comparing Cognitive Remediation Approaches for Schizophrenia</t>
  </si>
  <si>
    <t>NCT04124744 - A Pilot Randomised Controlled Trial of a Volunteer Health Champion Intervention to Support People With Severe Mental Illness to Improve Their Physical Health</t>
  </si>
  <si>
    <t>NCT04127058 - A Safety/Tolerance Study to Evaluate a New Titration Scheme in Patients With Bipolar I Disorder or Schizophrenia</t>
  </si>
  <si>
    <t>NCT04134871 - Walking for Health: The Feasibility of a Walking Intervention to Increase Physical Activity and Reduce Sedentary Behaviour in People With Severe Mental Illness</t>
  </si>
  <si>
    <t>NCT04136873 - A Phase 1B Trial To Evaluate the Safety, Tolerability, Pharmacokinetics, and Pharmacodynamics of Multiple Ascending Doses of CVL-231 in Subjects With Schizophrenia</t>
  </si>
  <si>
    <t>NCT04143126 - Cognitive Enhancement for Persistent Negative Symptoms in Schizophrenia</t>
  </si>
  <si>
    <t>NCT04147897 - Implementing mHealth for Schizophrenia in Community Mental Health Settings</t>
  </si>
  <si>
    <t>NCT04158687 - A Randomized, Double-Blind, Placebo-Controlled Study to Evaluate the Safety and Efficacy of CTP-692 as an Adjunctive Treatment in Adult Patients With Schizophrenia</t>
  </si>
  <si>
    <t>NCT04159662 - Brain Imaging of Cognition Inn Schizophrenia and Depression</t>
  </si>
  <si>
    <t>NCT04173572 - Targeting Physical Health in Schizophrenia: Physical Activity Can Enhance Life Randomized Control Trial</t>
  </si>
  <si>
    <t>NCT04173598 - Study of the Effectiveness of a Guided Compensatory Cognitive Remediation Program for Family Caregivers in Schizophrenia: a Randomized Pilot Study</t>
  </si>
  <si>
    <t>NCT04182113 - Repetitive Transcranial Magnetic Stimulation (rTMS) as a Probe of Episodic Memory (EM) Neurocircuitry in Schizophrenia</t>
  </si>
  <si>
    <t>NCT04187560 - A Randomized, Double-blinded, Placebo-controlled, Single and Multiple Ascending Dose Study to Evaluate the Safety, Tolerability, and Pharmacokinetics of LB-102 Administered Orally to Healthy Subjects</t>
  </si>
  <si>
    <t>NCT04191200 - Etat BUCCO-dentaire de Patients Atteints de SCHIZophrénie et de Troubles Schizo-affectif Suivis au Centre Hospitalier de Charles Perrens</t>
  </si>
  <si>
    <t>NCT04191876 - Financial Incentives to Improve Medication Adherence: a Pilot Study</t>
  </si>
  <si>
    <t>NCT04203056 - Aripiprazole Lauroxil for Preventing Psychotic Relapse After an Initial Schizophrenia Episode</t>
  </si>
  <si>
    <t>NCT04210557 - Models of Auditory Hallucination</t>
  </si>
  <si>
    <t>NCT04221269 - Post-Hospital Suicide Prevention Intervention for Patients With Schizophrenia-Spectrum Disorders</t>
  </si>
  <si>
    <t>NCT04226898 - A Double-Blind Placebo-Controlled Trial of the Synbiotic Compound Probio-Tec ABCG for Schizophrenia Patients With and Without Elevated Markers of Gastrointestinal Inflammation</t>
  </si>
  <si>
    <t>NCT04237155 - Development of a Source-monitoring Task in French Adapted to Neuroimaging Protocols</t>
  </si>
  <si>
    <t>NCT04248517 - Using mHealth to Optimize Pharmacotherapy Regimens</t>
  </si>
  <si>
    <t>NCT04267003 - Transcranial Direct Current Stimulation (tDCS) Studies of Cognition, Oscillations and GABA Levels in Schizophrenia</t>
  </si>
  <si>
    <t>NCT04268303 - A Phase III Multicenter, Randomized, Double-Blind, Placebo-Controlled Study To Determine Efficacy and Safety of BXCL501 In Agitation Associated With Schizophrenia</t>
  </si>
  <si>
    <t>NCT04277936 - Pharmacologic Modulation of Hippocampal Activity in Psychosis</t>
  </si>
  <si>
    <t>NCT04278339 - Study of Electrophysiological Markers Related to the Cognitive and Affective Processes Behind Empathic Behaviour in Schizophrenic Spectrum Disorder</t>
  </si>
  <si>
    <t>NCT04280367 - Childhood Learning and Executive Function Disorders and Risk of Psychosis in the Adulthood</t>
  </si>
  <si>
    <t>NCT04294719 - A Study of Cognitive Adaptation Training in Inpatient Forensic Environments</t>
  </si>
  <si>
    <t>NCT04300946 - Effects of the Magnetic Transcranial Stimulation (TMS) in Healthy Volunteers</t>
  </si>
  <si>
    <t>NCT04306146 - A Phase 1 Study to Evaluate the Safety, Tolerability, Pharmacokinetics, and Effects on Neurophysiological Biomarkers of CAD-9303 Oral Treatment in Subjects With Schizophrenia and Normal Healthy Volunteers</t>
  </si>
  <si>
    <t>NCT04309370 - Interactions of Fronto-Parietal High Frequency Repetitive Transcranial Magnetic Stimulation on Anterior Cingulate Cortex Activation in Schizophrenia</t>
  </si>
  <si>
    <t>NCT04309435 - DEcision-making Capacity: Intervention Development &amp; Evaluation in Schizophrenia-spectrum Disorder: The DEC:IDES Trial</t>
  </si>
  <si>
    <t>NCT04318977 - rTMS Add on Value for Amelioration of Negative Symptoms of Schizophrenia</t>
  </si>
  <si>
    <t>NCT04321759 - Comparative Effectiveness of Cognitive Enhancement Therapy vs. Social Skills Training in Serious Mental Illness</t>
  </si>
  <si>
    <t>NCT04324944 - Improving Collaborative Decision Making in Veterans With Serious Mental Illness</t>
  </si>
  <si>
    <t>NCT04325386 - Clozapine CHAMPION-ECHO (Center for Help and Assistance for Maryland Prescribers- Improving Outcomes Network Using Extension for Community Healthcare Outcomes); Randomized Educational Study to Improve Clozapine Prescribing Through a Project ECHO Model</t>
  </si>
  <si>
    <t>NCT04325737 - A Randomized, Double-blind, Placebo-controlled, Multiple Oral Dose Study Assessing the Safety and Tolerability of SEP-363856 in Japanese Subjects With Schizophrenia</t>
  </si>
  <si>
    <t>NCT04338152 - Family-Focused Therapy for Individuals at High Clinical Risk for Psychosis: A Confirmatory Efficacy Trial</t>
  </si>
  <si>
    <t>NCT04366401 - Efficacy of Dietary Modulation With High Prebiotic and Probiotic Content on Nutritional and Metabolic Status in Schizophrenia Spectrum Disorders</t>
  </si>
  <si>
    <t>NCT04368039 - Normobaric Oxygen Therapy for Individuals With First-Episode Psychosis</t>
  </si>
  <si>
    <t>NCT04370730 - Dimensional and Developmental Approach to Psychotic Episodes in Children and Adolescents: Impact on Clinical Management</t>
  </si>
  <si>
    <t>NCT04395157 - Optimizing Cognitive Remediation in VA Mental Health Rehabilitation Settings</t>
  </si>
  <si>
    <t>NCT04399096 - Sound and Vision: A Collaboration Between Service-users, Artists and the Public to Explore the Lived Experience of Hallucinations</t>
  </si>
  <si>
    <t>NCT04414215 - Cognitive Training for Emotion Regulation in Psychotic Disorders</t>
  </si>
  <si>
    <t>NCT04414930 - Pharmacologic Augmentation of Targeted Cognitive Training in Schizophrenia</t>
  </si>
  <si>
    <t>NCT04418011 - Neuromodulation of Social Cognitive Circuitry in People With Schizophrenia Spectrum Disorders</t>
  </si>
  <si>
    <t>NCT04418466 - Open-Label Study in Stable Schizophrenia Patients to Evaluate the Safety, Tolerability, and Pharmacokinetics of Switching From Oral Risperidone to Risperidone Implant (DLP-114)</t>
  </si>
  <si>
    <t>NCT04421456 - A Randomized, Double-blind, Parallel-group Trial to Investigate the Safety and Efficacy of GWP42003-P Versus Placebo as Adjunctive Therapy in Participants With Schizophrenia Experiencing Inadequate Response to Ongoing Antipsychotic Treatment</t>
  </si>
  <si>
    <t>NCT04436757 - Group Program IPS: Body-esteem and Self-esteem in a Psycho-social Rehabilitation Perspective</t>
  </si>
  <si>
    <t>NCT04452175 - Cigarette Consumption After switchinG to High or Low Nicotine strENght E-cigaretteS In Smokers With Schizophrenia Spectrum Disorders: A 12-month Randomised, Double-blind Multicentre Trial</t>
  </si>
  <si>
    <t>NCT04457310 - A Translational and Neurocomputational Evaluation of a Dopamine Receptor 1 Partial Agonist for Schizophrenia</t>
  </si>
  <si>
    <t>NCT04461119 - A Phase II, Randomized, 4-Week, Double-Blind, Placebo-Controlled, Multiple-Dose Study, Designed to Determine the Safety, Tolerability, EEG Effects and Preliminary Efficacy of Fixed Oral Doses of 7.5 and 15 MG BID of Evenamide in Patients With Chronic Schizophrenia Who Are Symptomatic on Their Current Second-Generation Antipsychotic Medication</t>
  </si>
  <si>
    <t>NCT04481217 - The Mediating Role of Dissociative Symptoms and Early Maladaptive Schemas in the Relationship Between Childhood Trauma and Auditory Hallucinations in Schizophrenia</t>
  </si>
  <si>
    <t>NCT04497857 - Academic-Community EPINET (AC-EPINET): Mitigating Barriers to Care PILOT</t>
  </si>
  <si>
    <t>NCT04506905 - A 2-Part Randomized Clinical Study to Evaluate the Safety, Tolerability and Pharmacokinetics of Alternate MK-8189 Titration Regimens in Young Adult Participants With Schizophrenia and to Evaluate the Safety, Tolerability and Pharmacokinetics of MK-8189 in Elderly Participants With Schizophrenia and Healthy Elderly</t>
  </si>
  <si>
    <t>NCT04510298 - A Pilot, 4-Week, Randomized, Double-Blind, Placebo-Controlled, Inpatient, Multicenter Study of the Safety, Population Pharmacokinetics, and Exploratory Efficacy of SP-624 in Acutely Psychotic Adult Subjects With Schizophrenia</t>
  </si>
  <si>
    <t>NCT04512066 - A Phase II, Multi-Center, Randomized, Double-Blind, Parallel Group, Placebo-Controlled Trial of the Efficacy and the Safety of RO6889450 (Ralmitaront) vs Placebo in Patients With an Acute Exacerbation of Schizophrenia or Schizoaffective Disorder</t>
  </si>
  <si>
    <t>NCT04524403 - A Phase 2, Randomized, Double-Blind, Placebo-Controlled Study Evaluating the Safety, Efficacy, and Pharmacokinetics of Miricorilant in Obese Adult Patients With Schizophrenia Taking Antipsychotic Medications (GRATITUDE II)</t>
  </si>
  <si>
    <t>NCT04526067 - In-person vs. Remote Wellness Support (Study Sub-title: Remote Cognitive Adaptation Training to Improve Medication Follow Through in Managed Care (R-CAT))</t>
  </si>
  <si>
    <t>NCT04531982 - A Phase 3, Randomized, Double-Blind, Placebo-Controlled Study to Evaluate the Efficacy and Safety of Pimavanserin as Adjunctive Treatment for the Negative Symptoms of Schizophrenia</t>
  </si>
  <si>
    <t>NCT04554121 - Efficacy of Personalizing Cognitive Remediation for Schizophrenia by Targeting Impairments in Early Auditory Processing</t>
  </si>
  <si>
    <t>NCT04559529 - Pharmacological Modulation of Hippocampal Activity in Psychosis 2</t>
  </si>
  <si>
    <t>NCT04567524 - A Multiple Dose Study to Assess the Safety, Tolerability and Pharmacokinetics of Risperidone Extended Release Capsules in Subjects With Schizophrenia, Schizoaffective Disorder</t>
  </si>
  <si>
    <t>NCT04572685 - A Randomized, Open-Label, Parallel, Single-Dose Study to Evaluate the Pharmacokinetic Characteristics of LY03010 Process 1 and Process 2 Drug Product Versus INVEGA SUSTENNA After Intramuscular Injection in Schizophrenia Patients</t>
  </si>
  <si>
    <t>NCT04578314 - RELATE - A Randomized Controlled Trial of a Cognitive Behavioural Module for Distressing Auditory Verbal Hallucinations</t>
  </si>
  <si>
    <t>NCT04578756 - A 52-Week, Multicenter, Open-Label, Flexible-dose Study to Evaluate the Long-term Safety and Tolerability of Cariprazine in the Treatment of Pediatric Subjects With Schizophrenia, Bipolar I Disorder, or Autism Spectrum Disorder</t>
  </si>
  <si>
    <t>NCT04580134 - Antipsychotic Response to Clozapine in B-SNIP Biotype-1 (Clozapine)</t>
  </si>
  <si>
    <t>NCT04588129 - An Open Label Positron Emission Tomography (PET) Study to Evaluate Dopamine Receptor Occupancy of LB-102 Administered Orally to Healthy Subjects</t>
  </si>
  <si>
    <t>NCT04590300 - Impact Des Performances Cognitives et métacognitives Sur l'Apprentissage de Connaissances Lors de la réalisation de Programmes d'éducation thérapeutique</t>
  </si>
  <si>
    <t>NCT04602741 - Examining a Digital Health Approach for Advancing Schizophrenia Illness Self-management and Provider Engagement</t>
  </si>
  <si>
    <t>NCT04608032 - Neuropsychological Assessment of Remediation for Cognitive Impairments in Schizophrenia</t>
  </si>
  <si>
    <t>NCT04610697 - Cognitive Remediation in Forensic Mental Health Care</t>
  </si>
  <si>
    <t>NCT04624243 - A Phase 2B Randomized, Double-Blind, Placebo- and Active-Controlled Trial of the Efficacy and Safety of MK-8189 in Participants Experiencing an Acute Episode of Schizophrenia</t>
  </si>
  <si>
    <t>NCT04631939 - Metacognitive Training as a Serious Game: A New Approach for the Treatment of Delusions</t>
  </si>
  <si>
    <t>NCT04655235 - Translational Investigation of the Glutamatergic and GABAergic System in Schizophrenia - a Combined EEG-, fMRI-, Genetic, Serological and Cell Biological Study</t>
  </si>
  <si>
    <t>NCT04659161 - A Phase 3, Randomized, Double-blind, Parallel-group, Placebo-controlled, Multicenter Study to Evaluate the Efficacy and Safety of KarXT in Acutely Psychotic Hospitalized Adults With DSM-5 Schizophrenia</t>
  </si>
  <si>
    <t>NCT04659174 - An Open-label Extension Study to Assess the Long-term Safety, Tolerability, and Efficacy of KarXT in Subjects With DSM-5 Schizophrenia</t>
  </si>
  <si>
    <t>NCT04673851 - Horyzons: Implementation in Clinical Practice</t>
  </si>
  <si>
    <t>NCT04681807 - Social Cognition in Youth Who Have a First Degree Relative With Schizophrenia</t>
  </si>
  <si>
    <t>NCT04689867 - Feasibility, Acceptability, and Preliminary Effectiveness of a Cognitive-behavioral Suicide Prevention-focused Intervention Tailored to Adults Diagnosed With Schizophrenia Spectrum Disorders: Aim 1 Open Pilot Trial to Test Modified Treatment and Measurement Prior to Aim 2 RCT (Registered Separately)</t>
  </si>
  <si>
    <t>NCT04709224 - An Open-label Study to Determine the Pharmacokinetics, Safety and Tolerability of Single Ascending Doses of a Subcutaneous Injection of Lumateperone Long-Acting Injectable (LAI) Formulation in Patients With Schizophrenia</t>
  </si>
  <si>
    <t>NCT04712734 - An Open-label, Adaptive, Repeat-dose Study to Evaluate the Safety, Tolerability, and Pharmacokinetics of Iloperidone Long-acting Injection (LAI) in Patients With Schizophrenia</t>
  </si>
  <si>
    <t>NCT04730518 - Yoga-based Group Therapy for In-Patients With Schizophrenia Spectrum Disorder - Feasibility, Acceptability, and Preliminary Outcomes of a Rater-Blinded Randomized Controlled Trial</t>
  </si>
  <si>
    <t>NCT04748679 - Cognitive Behavioral Therapy (CBT) Study Evaluating the Updating of Persecutory Beliefs</t>
  </si>
  <si>
    <t>NCT04752449 - Virtual Cognitive Behavioural Therapy for Psychosis: A Randomized Controlled Trial</t>
  </si>
  <si>
    <t>NCT04756388 - E-SMART: Examining Strategy Monitoring and Remediation Training for Schizophrenia</t>
  </si>
  <si>
    <t>NCT04763655 - Neural Biomarkers of Electroconvulsive Therapy Response in Schizophrenia</t>
  </si>
  <si>
    <t>NCT04768335 - Pilot Study: the Links Between Basic Auditory Processes and High Functioning Cognitive Processes in Schizophrenia (Reality Monitoring and Emotional Perception)</t>
  </si>
  <si>
    <t>NCT04779177 - An Open-label Multiple Oral Dose Study to Determine the Safety, Tolerability, and Pharmacokinetics of Lumateperone in Patients, Ages 13 to 17 Years, Diagnosed With Schizophrenia or Schizoaffective Disorder</t>
  </si>
  <si>
    <t>NCT04781179 - Randomized, Controlled Study of the Effectiveness of Mental Contrasting and Implementation Intention in the Management of Apathy in Schizophrenia</t>
  </si>
  <si>
    <t>NCT04783246 - Feasibility and Effectiveness of a Virtual Group Fitness and Nutrition Intervention in Individuals With Psychosis: A Pilot Study</t>
  </si>
  <si>
    <t>NCT04783571 - Effects of Auditory Stimulation on Sleep and Memory in Schizophrenia</t>
  </si>
  <si>
    <t>NCT04787302 - A Phase 1, Open-label Trial to Evaluate Target Occupancy of CVL-231 at Muscarinic Receptors Type 4 in Brain Following Single Oral Doses Using Positron Emission Tomography in Healthy Adult Subjects</t>
  </si>
  <si>
    <t>NCT04799717 - Game-based Telehealth Therapeutic Intervention in First Onset Psychosis</t>
  </si>
  <si>
    <t>NCT04807530 - Causal Role of Medial Prefrontal Neural Activity in Self-Agency in Schizophrenia</t>
  </si>
  <si>
    <t>NCT04820309 - An Open-label Study to Assess the Long-term Safety, Tolerability, and Efficacy of KarXT in De Novo Subjects With DSM-5 Schizophrenia</t>
  </si>
  <si>
    <t>NCT04822883 - A Single-arm, Single-blind, Multiple Dose Study to Evaluate Safety and the Effects of RL-007 on Electroencephalograms and Event-related Potentials in Subjects With Schizophrenia</t>
  </si>
  <si>
    <t>NCT04825860 - A Randomized, Double-blind, Parallel-group, Placebo Controlled, Fixed-dose, Multicenter Study to Evaluate the Efficacy and Safety of SEP 363856 in Acutely Psychotic Patients With Schizophrenia, Followed by an Open-label Extension Phase</t>
  </si>
  <si>
    <t>NCT04846868 - A Phase III Randomized, Double-blind, Placebo-controlled Parallel Group Trial to Examine the Efficacy and Safety of Iclepertin Once Daily Over 26 Week Treatment Period in Patients With Schizophrenia (CONNEX-1)</t>
  </si>
  <si>
    <t>NCT04846881 - A Phase III Randomized, Double-blind, Placebo-controlled, Parallel Group Trial to Examine the Efficacy and Safety of Iclepertin Once Daily Over 26 Week Treatment Period in Patients With Schizophrenia (CONNEX-2)</t>
  </si>
  <si>
    <t>NCT04856657 - Targeting Individual Alpha Frequencies to Enhance Perceptual Timing</t>
  </si>
  <si>
    <t>NCT04857983 - Memantine Augmentation of Targeted Cognitive Training in Schizophrenia</t>
  </si>
  <si>
    <t>NCT04860830 - A Phase III Randomized, Double-blind, Placebo-controlled Parallel Group Trial to Examine the Efficacy and Safety of Iclepertin Once Daily Over 26 Week Treatment Period in Patients With Schizophrenia (CONNEX-3)</t>
  </si>
  <si>
    <t>NCT04865835 - A Randomized, Single-blind, Two-period Crossover to Investigate the Effect of SEP-363856 on the Pharmacokinetics of Metformin in Subjects With Schizophrenia.</t>
  </si>
  <si>
    <t>NCT04867681 - Study of the Impact on the Therapeutic Alliance of a Short Initial Psychoeducation Programme in Patients With Early Schizophrenia</t>
  </si>
  <si>
    <t>NCT04870710 - Improving Visual Hallucinations by Targeting the Visual Cortex With Electrical Stimulation: A Feasibility Study</t>
  </si>
  <si>
    <t>NCT04874974 - The PROBAS-Study: Developing a Process-based and Modular Group Therapy for Acute Psychiatric Patients With Psychotic Symptoms: a Single-arm Feasibility Study</t>
  </si>
  <si>
    <t>NCT04887792 - A Randomized Controlled Trial of Acetazolamide for Patients With Treatment Resistant Schizophrenia</t>
  </si>
  <si>
    <t>NCT04895488 - Cognitive Effects of Adjuvant Vortioxetine in Early Schizophrenia</t>
  </si>
  <si>
    <t>NCT04907279 - A Canadian Non-interventional Study of Aripiprazole Once-Monthly (AOM) Administration in Hospitalized Patients With Schizophrenia, Schizoaffective Disorder and Bipolar I Disorder</t>
  </si>
  <si>
    <t>NCT04911010 - Effectiveness of Trauma Therapy Using Prolonged Exposure for the Treatment of Post-traumatic Stress Disorder (PTSD) in Patients With Comorbid Psychotic Disorder</t>
  </si>
  <si>
    <t>NCT04922593 - A Study to Evaluate the PK Profiles of LY03010 and Relative Bioavailability at Steady-state of LY03010 Versus INVEGA SUSTENNA in Schizophrenia Patients</t>
  </si>
  <si>
    <t>NCT04940663 - Neurobehavioral Mechanisms of Social Isolation and Loneliness in Serious Mental Illness</t>
  </si>
  <si>
    <t>NCT04946916 - Validation of Serum Neurofilament Light Chain as a Biomarker to Differentiate Cognitive Impairment From Neurodegenerative or Psychiatric Diseases</t>
  </si>
  <si>
    <t>NCT04951700 - Aging and Disease Course: Contributions to Lifespan Neurobiology of Schizophrenia</t>
  </si>
  <si>
    <t>NCT04959032 - A Randomized, Double-blind, Placebo-controlled, Parallel-group Study of Lumateperone for the Prevention of Relapse in Patients With Schizophrenia</t>
  </si>
  <si>
    <t>NCT04968223 - Neural Correlates of Social Touch and Interoceptive Perception as Potential Biomarker for Impaired Social Functioning</t>
  </si>
  <si>
    <t>NCT04972227 - A Double-blinded, Randomized, Placebo-controlled, Multiple-ascending-dose Study to Assess the Safety and Pharmacokinetics of CY6463 in Participants With Stable Schizophrenia</t>
  </si>
  <si>
    <t>NCT04985786 - Pathological Risk: Dynamics of Risk Perception and Risk Behavior in Alcohol Use Disorder and Schizophrenia</t>
  </si>
  <si>
    <t>NCT04986072 - Proof of Mechanism Study Using a Retinal Biomarker to Predict Treatment Response With Intravenous Sodium Nitroprusside in Symptomatic Early Course Schizophrenia</t>
  </si>
  <si>
    <t>NCT04987151 - Comparison of Three Different Exercise Training Modalities (Aerobic, Strength, and Mixed) in Patients With Schizophrenia: Study Protocol for a Multi-centre Randomised Wait-list Controlled Trial</t>
  </si>
  <si>
    <t>NCT04987229 - Long-term, Safety Extension Study of OLZ/SAM in Pediatric Subjects With Schizophrenia or Bipolar I Disorder</t>
  </si>
  <si>
    <t>NCT05017532 - Cognitive Remediation for Social Cognition in Schizophrenia and Related Disorders: Acceptability, Feasibility and Preliminary Effects of Remoted RC2S+ (RC2S+ Remote)</t>
  </si>
  <si>
    <t>NCT05023252 - Passive Mobile Self-Tracking of Mental Health by Veterans With Serious Mental Illness</t>
  </si>
  <si>
    <t>NCT05025605 - A Randomized, Double-blind, Placebo-controlled Study to Determine Efficacy and Safety of BXCL501 in Agitation Associated With Pediatric Schizophrenia and Bipolar Disorder</t>
  </si>
  <si>
    <t>NCT05030272 - Comparing Two Behavioral Approaches to Quitting Smoking in Mental Health Settings</t>
  </si>
  <si>
    <t>NCT05032963 - Neurocognition After Perturbed Sleep (NAPS)</t>
  </si>
  <si>
    <t>NCT05036590 - Efficiency Assessment of a Mental Health Professionals' Training Course for a Short Psychoeducational Program (BREF) for Families and Caregivers of Patients With Schizophrenia or First Psychotic Episode.</t>
  </si>
  <si>
    <t>NCT05046353 - D-serine Augmentation of Neuroplasticity-based Auditory Learning in Schizophrenia: R33 Phase</t>
  </si>
  <si>
    <t>NCT05053451 - Transcranial Direct Current Stimulation (tDCS) Studies of Auditory Hallucinations, Negative Symptoms and Cognition in Schizophrenia</t>
  </si>
  <si>
    <t>NCT05083377 - Clozapine Use Pattern in the Province of Seville</t>
  </si>
  <si>
    <t>NCT05102929 - Enhancing Prefrontal Oscillatory Activity and Working Memory Performance With Noninvasive Brain Stimulation in Early-course Schizophrenia</t>
  </si>
  <si>
    <t>NCT05105542 - Muscarinic M1 Receptor Availability and Cognition in Schizophrenia</t>
  </si>
  <si>
    <t>NCT05106309 - A Phase 1, Open-label Trial to Evaluate the Pharmacokinetics of CVL-231 Following Single Oral Administration of Modified- and Immediate-release Formulations Under Fasted and Fed Conditions in Healthy Participants</t>
  </si>
  <si>
    <t>NCT05109065 - Peripheral Immune System in Individuals With Schizophrenia</t>
  </si>
  <si>
    <t>NCT05110157 - A Phase 3, Randomized, Double-Blind, Placebo Controlled Study to Evaluate the Efficacy, Safety, and Tolerability of Valbenazine as Adjunctive Treatment in Subjects With Schizophrenia</t>
  </si>
  <si>
    <t>NCT05111548 - Neuromodulation Plus Cognitive Training to Improve Working Memory Among Individuals With Severe Mental Illness</t>
  </si>
  <si>
    <t>NCT05115604 - Insomnia in the Patient With Schizophrenic Disorder: Evaluation of a Cognitive Behavioural and Psychoeducational Intervention</t>
  </si>
  <si>
    <t>NCT05124470 - Pilot Study Evaluating the Feasibility and the Preliminary Effects of a Cognitive Remediation Method by Rhythmic, Vocal and Embodied Musical Learning for Stabilized Schizophrenic Patients.</t>
  </si>
  <si>
    <t>NCT05127837 - Development of an Artificial Intelligence- Informed Digital Tool to Help Clinicians Practice Cognitive Behavioral Therapy for Psychosis (CBTp)</t>
  </si>
  <si>
    <t>NCT05130853 - Social Cognition Individualized Activities Lab (SoCIAL) for the Training of Social Cognition and Narrative Enhancement in Patients With Schizophrenia: A Randomized Controlled Study to Assess Efficacy and Generalization to Real-life Functioning</t>
  </si>
  <si>
    <t>NCT05131035 - Targeting Processing Speed Deficits to Improve Social Functioning and Lower Psychosis Risk in Adolescents at Clinical High Risk for Psychosis</t>
  </si>
  <si>
    <t>NCT05136690 - A Randomized, Double-Blind, Placebo-Controlled, Cross-over Evaluation of Evoked Responses as Pharmacodynamic Biomarkers in Healthy Adults and Schizophrenic Patients</t>
  </si>
  <si>
    <t>NCT05140135 - Effectiveness and Mechanisms of Recovery Oriented Cognitive Therapy</t>
  </si>
  <si>
    <t>NCT05142735 - Effects of N-acetylcysteine on Psychosis-like Symptoms and a Neurophysiological Biomarker of the Clinical High Risk for Schizophrenia</t>
  </si>
  <si>
    <t>NCT05145413 - A Phase 3, Randomized, Double-blind, Placebo-controlled Study to Evaluate the Safety and Efficacy of Adjunctive KarXT in Subjects With Inadequately Controlled Symptoms of Schizophrenia</t>
  </si>
  <si>
    <t>NCT05157620 - Exercise-based Program for Rehabilitation of Veterans With Severe Mental Illness</t>
  </si>
  <si>
    <t>NCT05167396 - REtinal and VIsual Cortical Response in Early PSYchosis</t>
  </si>
  <si>
    <t>NCT05179525 - An Open-Label, One-Sequence Study to Evaluate the Steady- State Comparative Bioavailability of Intramuscular Risperidone ISM® and EU Risperdal® (Sourced From Germany)</t>
  </si>
  <si>
    <t>NCT05182476 - A Randomized, Double-Blind, Placebo-Controlled, Parallel-Group Study to Evaluate the Efficacy, Safety, and Tolerability of Luvadaxistat in Subjects With Cognitive Impairment Associated With Schizophrenia, Followed by Open-Label Treatment</t>
  </si>
  <si>
    <t>NCT05184335 - Phase 3, Randomized, 28 Days, Double-blind, Placebo-controlled, Multicenter Study to Assess the Safety and Efficacy of Brilaroxazine (RP5063) in Subjects With Schizophrenia, Followed by a 52-Week Open-label Extension</t>
  </si>
  <si>
    <t>NCT05185128 - Neural Basis of Social Cognition Deficits in Youth With Autism and Schizophrenia</t>
  </si>
  <si>
    <t>NCT05204407 - Luteolin for the Treatment of People With Schizophrenia</t>
  </si>
  <si>
    <t>NCT05206292 - Estimating Prevalence of Inherited Disorders of Sulfur Amino Acids Metabolism in Patients With Psychotic Disorders.</t>
  </si>
  <si>
    <t>NCT05206734 - Incidence of Psychological Comorbidities in Paediatric and Young Adults With Inflammatory Bowel Disease, and the Impacts on Quality-of-life, Disease Severity and Resource Utilisation: A Population-based Cohort Study in the United Kingdom</t>
  </si>
  <si>
    <t>NCT05208190 - Clozapine for the Prevention of Violence in Schizophrenia: a Randomized Clinical Trial</t>
  </si>
  <si>
    <t>NCT05211947 - An Open Label, Single Arm, Extension Trial to Examine Long-term Safety of Iclepertin Once Daily in Patients With Schizophrenia Who Have Completed Previous Iclepertin Phase III Trials (CONNEX-X)</t>
  </si>
  <si>
    <t>NCT05227118 - A Randomized Clinical Study to Evaluate the Safety and Tolerability of MK-8189 in Participants With Alzheimer's Disease With or Without Symptoms of Agitation-Aggression and/or Psychosis</t>
  </si>
  <si>
    <t>NCT05227690 - A Phase 2, Randomized, Double-blind, Placebo-controlled Trial to Evaluate the Efficacy, Safety, and Tolerability of Two Fixed Doses (10 mg and 30 mg QD) of CVL-231 (Emraclidine) in Participants With Schizophrenia Experiencing an Acute Exacerbation of Psychosis</t>
  </si>
  <si>
    <t>NCT05227703 - A Phase 2, Randomized, Double-blind, Placebo-controlled Trial to Evaluate the Efficacy, Safety, and Tolerability of Two Fixed Doses (15 mg and 30 mg QD) of CVL-231 (Emraclidine) in Participants With Schizophrenia Experiencing an Acute Exacerbation of Psychosis</t>
  </si>
  <si>
    <t>NCT05245539 - A Randomized, Double-Blind Trial to Study the Effect of CVL-231 on 24-Hour Ambulatory Blood Pressure in Participants With Schizophrenia</t>
  </si>
  <si>
    <t>NCT05247151 - The Association of Affective Resonance With Empathy Modulated by Negative Symptomatology and Oxytocin</t>
  </si>
  <si>
    <t>NCT05252039 - Goals in Focus: CBT for Motivational Negative Symptoms of Psychosis - a Randomized-controlled Feasibility Trial</t>
  </si>
  <si>
    <t>NCT05259306 - Low-Intensity Focused Ultrasound of the Mediodorsal Thalamus for Treatment-resistant Schizophrenia: Circuit Interrogation and Symptom Assessment</t>
  </si>
  <si>
    <t>NCT05268809 - Can Neural Network Instability in Schizophrenia be Improved With a Very Low Carbohydrate Ketogenic Diet?</t>
  </si>
  <si>
    <t>NCT05273164 - State Representation in Early Psychosis</t>
  </si>
  <si>
    <t>NCT05276050 - Circuitry-Guided Smoking Cessation in Schizophrenia (UH3)</t>
  </si>
  <si>
    <t>NCT05281640 - Psychological Interventions for Complex PTSD And Schizophrenia-Spectrum Disorder: PICASSO Trial</t>
  </si>
  <si>
    <t>NCT05282186 - What the Nose Knows: Hedonic Capacity, Psychosocial Interventions and Outcomes in Schizophrenia</t>
  </si>
  <si>
    <t>NCT05296720 - EEG and Behavioral Correlates of Temporal Prediction in the Tactile Modality in Schizophrenia</t>
  </si>
  <si>
    <t>NCT05299749 - Real-time fMRI Neurofeedback as a Tool to Mitigate Auditory Hallucinations in Patients With Schizophrenia - R33 Phase</t>
  </si>
  <si>
    <t>NCT05300633 - Adapting Community Reinforcement Approach and Family Training to Target Substance Use in Early Psychosis Intervention: A Pilot Study of Group Therapy</t>
  </si>
  <si>
    <t>NCT05303064 - A Phase 3, Randomized, Double-Blind, 52-Week Study of OLZ/SAM vs Olanzapine to Evaluate Weight Gain as Assessed by Change in BMI Z-Score in Pediatric Subjects With Schizophrenia or Bipolar I Disorder (ENLIGHTEN-Youth)</t>
  </si>
  <si>
    <t>NCT05304767 - An Open-label Extension Study to Assess the Long-term Safety and Tolerability of Adjunctive KarXT in Subjects With Inadequately Controlled Symptoms of Schizophrenia</t>
  </si>
  <si>
    <t>NCT05319080 - A Pilot Open-label Trial of Individualized Repetitive Transcranial Magnetic Stimulation for Patients With Auditory Verbal Hallucinations</t>
  </si>
  <si>
    <t>NCT05321602 - A Randomized, Single-Dose, Open-Label, Parallel-Group Study to Evaluate the Pharmacokinetic Profiles of LY03010 in Patients With Schizophrenia or Schizoaffective Disorder</t>
  </si>
  <si>
    <t>NCT05322031 - The Impact of Aripiprazole Long-acting on Myelin and Cognition in the Onset of Schizophrenia</t>
  </si>
  <si>
    <t>NCT05325645 - A Multicenter, Placebo-controlled, Randomized, Double-blind, Parallel-group Comparison Trial to Investigate the Efficacy and Safety of Brexpiprazole Once-weekly (QW) Formulation in Patients With Acute Schizophrenia</t>
  </si>
  <si>
    <t>NCT05326347 - A Multicenter, Uncontrolled, Open-label Trial to Investigate the Long-term Tolerability, Safety, and Efficacy of Brexpiprazole Once-weekly (QW) Formulation Administered Once Weekly for 52 Weeks in Patients With Schizophrenia</t>
  </si>
  <si>
    <t>NCT05329363 - Evaluation of the Individual Early Psychoeducation Program for Schizophrenic Disorders in Inpatients: A Randomized, Multicenter Trial</t>
  </si>
  <si>
    <t>NCT05333003 - Semaglutide in Comorbid Schizophrenia Spectrum Disorder and Obesity for Metformin Non-responders: a Single-blind Randomized Control Trial</t>
  </si>
  <si>
    <t>NCT05337904 - Deep Brain Stimulation: Towards a Novel Intervention Focused on the Recovery of Patients With Treatment-Resistant Schizophrenia: Randomized, Controlled, Crossover Pilot Study</t>
  </si>
  <si>
    <t>NCT05338424 - Sprint Interval Training to Target Brain Oscillations in Psychosis</t>
  </si>
  <si>
    <t>NCT05340348 - Formation of a Patientheque in Patients With a Beginner Psychosis .</t>
  </si>
  <si>
    <t>NCT05343598 - Empirical Validation of a Cerebellar-cortical Hallucination Circuit</t>
  </si>
  <si>
    <t>NCT05345184 - Feasibility, Acceptability, and Preliminary Effectiveness of a Cognitive Behavioral Suicide Prevention-focused Intervention Tailored to Adults Diagnosed With Schizophrenia Spectrum Disorders: Aim 2 RCT</t>
  </si>
  <si>
    <t>NCT05345977 - eMotiph: Smart and Innovative E-mental Health Solution to Manage Patients With Schizophrenia</t>
  </si>
  <si>
    <t>NCT05349513 - Interest of the Tool: Evaluation of Specific Care in an Ecological Environment for Patients Suffering From Schizophrenia-like Disorders</t>
  </si>
  <si>
    <t>NCT05351736 - Impact of Structural and Myelin Abnormalities on Cognitive Impairments in Recent-onset Schizophrenia - Before and After Lurasidone Treatment (MARYLU)</t>
  </si>
  <si>
    <t>NCT05352568 - Is Cognitive Training an Option? Understanding the Feasibility of Cognitive Training With Individuals Living With Schizophrenia</t>
  </si>
  <si>
    <t>NCT05359081 - A 52-week, Open-label Study to Evaluate the Long-term Safety and Tolerability of SEP-363856 in Patients With Schizophrenia in Japan</t>
  </si>
  <si>
    <t>NCT05368558 - A 6-Week, Double-Blind, Placebo-Controlled Study Evaluating the Efficacy and Safety of Cariprazine in the Acute Exacerbation of Schizophrenia, With an Additional 18-Week Blinded Extension Period</t>
  </si>
  <si>
    <t>NCT05389345 - Effects of Adding Transcranial Direct Current Stimulation to Executive Function Training for Schizophrenia-spectrum Disorders - a Randomized Control Trial</t>
  </si>
  <si>
    <t>NCT05389787 - Impact of Cerebellar TMS on Brain and Cognitive Functions in Schizophrenia: a Pilot Study</t>
  </si>
  <si>
    <t>NCT05402111 - A Randomized, Open-Label, Single Dose, Cross-over Study of Gastric Emptying Rate: SEP-363856 vs Prior Antipsychotic Standard of Care in Subjects With Schizophrenia</t>
  </si>
  <si>
    <t>NCT05406440 - A Multiple Ascending Dose Clinical Study to Evaluate the Safety, Tolerability, PK and the Effect of MK-8189 on QTc in Participants With Schizophrenia</t>
  </si>
  <si>
    <t>NCT05414058 - Adjunctive Methylphenidate Extended Release in Patients With Schizophrenia: a Single-centre Fixed Dose Cross-over Open-label Trial to Improve Functional and Cognitive Outcomes</t>
  </si>
  <si>
    <t>NCT05435300 - Does tDCS Change Synaptic Density in the Brains of Patients With Schizophrenia</t>
  </si>
  <si>
    <t>NCT05438160 - A Multi-center, Exploratory, Single-Arm, 7-week Study to Evaluate the Feasibility and Acceptability of the Treatment Monitoring and Educational Components of CT-155 in People With Schizophrenia</t>
  </si>
  <si>
    <t>NCT05440955 - Efficacy and Auditory Biomarker Analysis of Fronto-Temporal Transcranial Direct Current Stimulation (tDCS) in Targeting Cognitive Impairment Associated With Recent-onset Schizophrenia: A Randomized Double-blind Sham-controlled Trial</t>
  </si>
  <si>
    <t>NCT05443724 - A 52-week, Phase 2, Open-label Trial to Evaluate the Long-term Safety and Tolerability of CVL-231 (Emraclidine) in Adult Participants With Schizophrenia</t>
  </si>
  <si>
    <t>NCT05457127 - Obstructive Sleep Apnea Treatment in People Aging With Serious Mental Illness</t>
  </si>
  <si>
    <t>NCT05462340 - PET Imaging Study of α7 and α4β2-nAChR in Schizophrenia: Cognitive Relationships</t>
  </si>
  <si>
    <t>NCT05463770 - An Open-Label, Fixed Sequence, Multiple Dose Study of Glucose and Insulin Associated Parameters: SEP-363856 vs Prior Antipsychotic (PA) Standard of Care in Subjects With Schizophrenia Suffering From Metabolic Dysregulation</t>
  </si>
  <si>
    <t>NCT05464563 - Study by Electroencephalography of the Link Between the Lack of Self-compassion and the Disorder of Empathy in Schizophrenia</t>
  </si>
  <si>
    <t>NCT05469815 - Lost Children Society (LCS), Metacognitive Training Integrated Into an Online Therapeutic Tabletop Role-playing Game for Early-onset Schizophrenia Patients : a Pilot Study on Feasibility</t>
  </si>
  <si>
    <t>NCT05473741 - Risk of Breakthrough Symptoms On Antipsychotic Maintenance Medication When Remitted Patients Are Treated With Long-Acting Injectable Medications</t>
  </si>
  <si>
    <t>NCT05480046 - Risperidone ISM® Effectiveness in Schizophrenia Patients Hospitalised Due to A Relapse: a Prospective Non-interventional Evaluation (RESHAPE Study)</t>
  </si>
  <si>
    <t>NCT05480826 - Familial and Functional Study of Genetic Variants Identified in People With Schizophrenia, Bipolar Disorder, Autism Spectrum Disorder or Resistant Depression</t>
  </si>
  <si>
    <t>NCT05486312 - A Multi-center, Exploratory, Single-Arm, 7-week Study to Evaluate the Feasibility and Acceptability of Treatment With CT-155 in People With Schizophrenia</t>
  </si>
  <si>
    <t>NCT05491486 - The Relationship Between Mindfulness and Empathy With the Oxytocinergic System in Persons With Schizophrenia</t>
  </si>
  <si>
    <t>NCT05491538 - Acceptability and Feasibility of Work-Oriented, Veteran-Centric, Social-Cognitive Skills Training</t>
  </si>
  <si>
    <t>NCT05511363 - A Phase 3, Randomized, Double-Blind, Placebo-Controlled Relapse Prevention Study to Evaluate the Safety and Efficacy of KarXT for the Treatment of Psychosis Associated With Alzheimer's Disease</t>
  </si>
  <si>
    <t>NCT05526833 - An Open-label Extension Trial of Individualized Repetitive Transcranial Magnetic Stimulation in Patients With Auditory Verbal Hallucinations Who Completed Protocol #8116</t>
  </si>
  <si>
    <t>NCT05527210 - Prebiotic Treatment in People With Schizophrenia</t>
  </si>
  <si>
    <t>NCT05532683 - Development and Feasibility of a Lifestyle Group Intervention for Youth at Clinical High Risk for Psychosis</t>
  </si>
  <si>
    <t>NCT05537428 - Song-making In a Group (SING)</t>
  </si>
  <si>
    <t>NCT05538832 - Remote State Representation in Early Psychosis</t>
  </si>
  <si>
    <t>NCT05542264 - A Double-Blind, Randomized, Multiple Dose Study of Weight Associated Parameters: SEP-363856 vs Prior Antipsychotic (PA) Standard of Care in Subjects With Schizophrenia Suffering From Metabolic Dysregulation</t>
  </si>
  <si>
    <t>NCT05545111 - A Phase 2, Multicenter, Randomized, Double-Blind, Placebo-Controlled Study to Assess the Efficacy, Safety, Tolerability, and Pharmacokinetics of NBI-1117568 in Adults With Schizophrenia Who Warrant Inpatient Hospitalization</t>
  </si>
  <si>
    <t>NCT05550155 - Efficacy of Maintenance Repetitive Transcranial Magnetic Stimulation (rTMS) Treatment in Reducing Auditory Verbal Hallucinations (AVH) With High Frequency and Neuronavigation Guidance: A Double-blind, Randomized and Multicentric Study</t>
  </si>
  <si>
    <t>NCT05567848 - Accelerated Transcranial Magnetic Stimulation in Psychotic Disorders</t>
  </si>
  <si>
    <t>NCT05571228 - Be Outspoken and Overcome Stigmatizing Thoughts (BOOST) Group for Early Psychosis</t>
  </si>
  <si>
    <t>NCT05580211 - The Clinical and Functional Imaging Effects of Non-invasive Neuromodulation on Illness Awareness in Schizophrenia</t>
  </si>
  <si>
    <t>NCT05601050 - Linguistic Predictors of Outcomes in Psychosis</t>
  </si>
  <si>
    <t>NCT05601063 - Ascertaining Diagnosis Classification With Elicited Speech</t>
  </si>
  <si>
    <t>NCT05628103 - An 8-Week, Open-Label Study Evaluating the Effectiveness, Safety and Tolerability of SEP-363856 in Subjects With Schizophrenia Switched From Typical or Atypical Antipsychotic Agents</t>
  </si>
  <si>
    <t>NCT05643170 - A Multi-center, Open-label Study to Assess the Effectiveness, Long-term Safety, Tolerability, and Durability of Effect of KarXT in Patients With DSM-5 Diagnosis of Schizophrenia</t>
  </si>
  <si>
    <t>NCT05643196 - A Sham-Controlled Pilot Trial of Focused Ultrasound Modulation of the Globus Pallidus Interna in Schizophrenia</t>
  </si>
  <si>
    <t>NCT05648591 - Open-label Safety Study of a 1-year 8 to 24 mg/Day Dose Regimen of Iloperidone (FANAPT®) in Adolescent Patients With Schizophrenia or Bipolar I Disorder</t>
  </si>
  <si>
    <t>NCT05654870 - A Phase 3, Randomized, Double-Blind, Placebo-Controlled Study to Evaluate the Efficacy, Safety, and Tolerability of Valbenazine as Adjunctive Treatment in Subjects With Schizophrenia</t>
  </si>
  <si>
    <t>NCT05658510 - Efficacy And Safety of BXCL501 Evaluated For At-Home Use In A Multisite Double-Blind Placebo-Controlled Trial For Agitation Associated With Schizophrenia And Bipolar Disorder</t>
  </si>
  <si>
    <t>NCT05660018 - TMS Related Biomarker Assessments</t>
  </si>
  <si>
    <t>NCT05660070 - Context-Aware Mobile Intervention for Social Recovery in Serious Mental Illness</t>
  </si>
  <si>
    <t>NCT05661448 - Promoting Cognitive Health in Schizophrenia: A National Collaborative Effort to Implement Online Psychological Interventions</t>
  </si>
  <si>
    <t>NCT05662306 - Comprehensive Treatment of Early Course Schizophrenia: A Nonrandomized Study of Long Acting Injectable Antipsychotic Medication Combined With Cognitive and Functional Skills Training</t>
  </si>
  <si>
    <t>NCT05664594 - State Representation in Early Psychosis - Project 4</t>
  </si>
  <si>
    <t>NCT05670197 - A Qualitative Study of Service User and Staff Views on Digital Remote Monitoring for Unusual Distressing Experiences (Psychosis)</t>
  </si>
  <si>
    <t>NCT05686239 - An Adaptive, Randomized, Placebo-controlled, Double-blind Study to Evaluate the Safety and Efficacy of RL-007 in the Treatment of Cognitive Impairment Associated With Schizophrenia (CIAS)</t>
  </si>
  <si>
    <t>NCT05693935 - A Multinational, Multicenter, Randomized, Double-Blind, Parallel-Group, Placebo-Controlled Study With an Open-Label, Long-Term Safety Phase to Evaluate the Efficacy, Safety, and Tolerability of Olanzapine for Extended-Release Injectable Suspension (TV-44749) for Subcutaneous Use as Treatment of Adult Patients With Schizophrenia</t>
  </si>
  <si>
    <t>NCT05698589 - Compassion Focused Therapy (CFT) for the Reduction of the Internalized Stigma of Mental Disorders: a Multi-center, Prospective, Randomized, Controlled Study</t>
  </si>
  <si>
    <t>NCT05703412 - Effectiveness of a Multi-component mHealth Intervention to Improve Post-hospital Transitions of Care for Patients With SMI</t>
  </si>
  <si>
    <t>NCT05703698 - EEG Outcomes From Cognitive Behavioural Therapy for Psychosis</t>
  </si>
  <si>
    <t>NCT05712928 - The Effects of Telehealth Dance/Movement Therapy on People With Chronic Schizophrenia</t>
  </si>
  <si>
    <t>NCT05723328 - The Effect of a Group Music Therapy Advocacy Recording Intervention (MTAR) on Internalized Stigma in Adult Psychiatric Inpatients in Acute Care</t>
  </si>
  <si>
    <t>NCT05724810 - Deep rTMS Modulating Insula Synaptic Density and Smoking Behavior in Schizophrenia</t>
  </si>
  <si>
    <t>NCT05724953 - Alexithymia Intervention for Suicide (ALEXIS)</t>
  </si>
  <si>
    <t>NCT05741502 - An Exploratory Analysis of Immune and Inflammatory Response Associated With Clozapine Versus Non-Clozapine Antipsychotics in Individuals With Treatment-resistant Schizophrenia</t>
  </si>
  <si>
    <t>NCT05741528 - An Open-label Extension Study to Assess the Safety and Tolerability of SEP-363856 in Subjects With Schizophrenia Switched From Typical or Atypical Antipsychotic Agents</t>
  </si>
  <si>
    <t>NCT05742893 - Comparison of a Speech-Language Pathology Assessment Tool for Pragmatic and Discourse Skills for Patients With Schizophrenic Spectrum Disorders and Other Psychotic Disorders</t>
  </si>
  <si>
    <t>NCT05746455 - Motivation Skills Training to Enhance Functional Outcomes for People With Schizophrenia (Open Trial)</t>
  </si>
  <si>
    <t>NCT05746494 - The Efficacy of Neural Stimulation in Individuals With Schizophrenia</t>
  </si>
  <si>
    <t>NCT05748990 - Does Abnormal Insulin Action in the Brain Underlie Cognitive and Metabolic Dysfunction in Schizophrenia</t>
  </si>
  <si>
    <t>NCT05756855 - Young Adults With Violent Behavior During Early Psychosis: An Open Pilot Trial</t>
  </si>
  <si>
    <t>NCT05779241 - A Multi Dose, Open-Label, Parallel-Group Study to Evaluate the PK and Safety/Tolerability of Long-Acting Oral Risperidone (LYN-005) in Participants With Schizophrenia or Schizoaffective Disorder</t>
  </si>
  <si>
    <t>NCT05805397 - Motivation Skills Training to Enhance Functional Outcomes for People With Schizophrenia</t>
  </si>
  <si>
    <t>NCT05809401 - Assessment and Treatment of Communicative Pragmatic Abilities in Neurological and Psychiatric Disorders: Feasibility and Clinical Efficacy (PATHS)</t>
  </si>
  <si>
    <t>NCT05823532 - Targeting Inflammation-Induced Changes in Brain Reward Signaling and Motivational Deficits in Patients With Schizophrenia Using an Anti-Inflammatory Challenge.</t>
  </si>
  <si>
    <t>NCT05824117 - Enhancing Educational and Vocational Recovery in Adolescents and Young Adults With Early Psychosis Through Supported Employment and Education (SEE): A Randomized Controlled Trial. Acronym: SEEearly</t>
  </si>
  <si>
    <t>NCT05838560 - Dasatinib Plus Quercetin for Accelerated Aging in Mental Disorders</t>
  </si>
  <si>
    <t>NCT05838625 - A Randomized, Multicenter, 16-week Study to Evaluate the Efficacy and Safety of Two Prescription Digital Therapeutics as an Adjunct to Standard-of-Care Antipsychotic Therapy in Adult and Late Adolescent Participants With Experiential Negative Symptoms of Schizophrenia</t>
  </si>
  <si>
    <t>NCT05847192 - Tau Networks in Psychotic Alzheimer's Disease</t>
  </si>
  <si>
    <t>NCT05848700 - A Double-Blind, Placebo-Controlled, Randomized Withdrawal Study to Evaluate SEP-363856 Physical Dependence in Adult Subjects With Schizophrenia</t>
  </si>
  <si>
    <t>NCT05859698 - A Phase 4, Single-Arm, Open-Label Study to Evaluate the Effectiveness of Valbenazine on Patient- and Clinician-Reported Outcomes in Subjects With Tardive Dyskinesia</t>
  </si>
  <si>
    <t>NCT05866328 - Online Training Program on Social Cognition for Patients With Schizophrenia</t>
  </si>
  <si>
    <t>NCT05877716 - EPI-MINN: Targeting Cognition and Motivation in Coordinated Specialty Care for Early Psychosis: A National Comparison Study</t>
  </si>
  <si>
    <t>NCT05890183 - Improving Cognition Through Telehealth Aerobic Exercise and Cognitive Training After a First Schizophrenia Episode</t>
  </si>
  <si>
    <t>NCT05893862 - A Double-Blind, Cross-Over Placebo-Controlled and Active-Controlled Trial To Evaluate The Effect Of A Supratherapeutic Dose Of MK-8189 On The QTc Interval In Participants With Schizophrenia</t>
  </si>
  <si>
    <t>NCT05899348 - iTEST: Introspective Accuracy as a Novel Target for Functioning in Psychotic Disorders</t>
  </si>
  <si>
    <t>NCT05905003 - Accelerating Medicines Partnership® Schizophrenia Observational Study: Psychosis Risk Evaluation, Data Integration, and Computational Technologies -Data Processing, Analysis, and Coordination Center and Coordination Center</t>
  </si>
  <si>
    <t>NCT05945602 - Optimization of Neurophysiologic Biomarkers for Rehabilitation Interventions in Veterans With Chronic Psychosis</t>
  </si>
  <si>
    <t>NCT05948111 - Insights From Participants: Candid Accounts of Schizophrenia Clinical Trials Patients</t>
  </si>
  <si>
    <t>NCT05953740 - A Single Ascending Dose Study to Evaluate the Safety, Tolerability, and Pharmacokinetics of the Long-Acting Injectable of MK-5720 in Participants With Schizophrenia</t>
  </si>
  <si>
    <t>NCT05956327 - Insight Into Hippocampal Neuroplasticity in Schizophrenia by Investigating Molecular Pathways During Physical Training</t>
  </si>
  <si>
    <t>NCT05956951 - Restoring Spindle and Thalamocortical Efficiency in Early-Course Schizophrenia Patients Using Closed-Loop Auditory Stimulation</t>
  </si>
  <si>
    <t>NCT05958875 - A Randomised, Controlled Trial to Investigate the Effect of a Six Week Intensified Pharmacological Treatment for Schizophrenia Compared to Treatment as Usual in Subjects Who Had a First-time Treatment Failure on Their First-line Treatment.</t>
  </si>
  <si>
    <t>NCT05966610 - Bizarreness and Anomalous Self Experiences in Schizophrenia: Pilot Study on Diagnostic Decision-Making</t>
  </si>
  <si>
    <t>NCT05968638 - Single-Blind Randomized Ketogenic Diet vs. Control Diet in People With Schizophrenia</t>
  </si>
  <si>
    <t>NCT05973110 - Examining the Efficacy of a Virtual Reality Cognitive Remediation Program for People Living With Psychosis</t>
  </si>
  <si>
    <t>NCT05978921 - Effect of Physical Strength Exercise on Telomeric Length as a Marker of Aging and Early Death in Patients With Schizophrenia</t>
  </si>
  <si>
    <t>NCT05980949 - A Phase 3 Global, Multicenter, Open-Label Extension Study to Assess the Long-Term Safety and Tolerability of KarXT in Subjects With Psychosis Associated With Alzheimer's Disease</t>
  </si>
  <si>
    <t>NCT06002958 - Horyzons: Implementation and Integration in Clinical Practice</t>
  </si>
  <si>
    <t>NCT06003036 - Accelerated Neuromodulation of Prefrontal Circuitry During Clozapine Treatment</t>
  </si>
  <si>
    <t>NCT06036108 - A Multicenter, Randomized, Open-label, 2-arm, 2-period Crossover Trial to Investigate the Effects of Food on the Pharmacokinetics of a Single Dose of Brexpiprazole Once-weekly (QW) Formulation in Patients With Schizophrenia</t>
  </si>
  <si>
    <t>NCT06036316 - Study of Language Disorders and Interactions Between Mnesic Capabilities and Semantic Competencies in Patients With Psychosis</t>
  </si>
  <si>
    <t>NCT06041646 - Characterization of Tachyphylaxis, Tolerance, and Withdrawal After Discontinuation of Igalmi in Frequently Agitated Schizophrenic or Bipolar Patients After 7 Days of PRN Treatment</t>
  </si>
  <si>
    <t>NCT06043206 - Bariatric Surgery in Patients With Schizophrenia</t>
  </si>
  <si>
    <t>NCT06045897 - Determination of EEG Microstates Associated With Mental Disorders in At-Risk States (Détermination Des Microétats EEG associés Aux Troubles Psychiques Dans Les États à Risque - DEMETER)</t>
  </si>
  <si>
    <t>NCT06061952 - Prospective 12-week Randomized Controlled Trial (RCT) of Remotely- Delivered Customized Adherence Enhancement for Poorly Adherent Individuals With Schizophrenia (CAE-S) vs Enhanced Treatment as Usual (eTAU)</t>
  </si>
  <si>
    <t>NCT06067984 - A Single-Arm, Open Label, 16-week Extension Study to Evaluate the Efficacy and Safety of a Second Course of a Digital Therapeutic as an Adjunct to Standard of Care Antipsychotic Therapy in Adult and Late Adolescent Participants With Experiential Negative Symptoms of Schizophrenia</t>
  </si>
  <si>
    <t>NCT06071858 - Cluster Randomized Trial of Enhanced Coordinated Specialty Care (CSC 2.0) for Early Psychosis</t>
  </si>
  <si>
    <t>NCT06093451 - An Open-Label, Randomized, Active Controlled Inpatient Trial Evaluating Sublingual Dexmedetomidine For Moderate To Severe Agitation In Inpatients With Schizophrenia Or Bipolar Disorder</t>
  </si>
  <si>
    <t>NCT06107764 - Cerebellar Modulation of Cognition in Psychosis</t>
  </si>
  <si>
    <t>NCT06107803 - A Phase 1b, In-Patient Study to Evaluate the Safety, Tolerability, Pharmacodynamics, and Pharmacokinetics of the Co-Administration of Roluperidone and Olanzapine in Adult Subjects With Moderate to Severe Negative Symptoms of Schizophrenia</t>
  </si>
  <si>
    <t>NCT06118268 - iTBS to Enhance Social Cognition in People With Psychosis</t>
  </si>
  <si>
    <t>NCT06126224 - A Phase 3, Randomized, Double-Blind, Placebo-Controlled, Parallel Group Study to Evaluate the Safety and Efficacy of KarXT for the Treatment of Psychosis Associated With Alzheimer's Disease</t>
  </si>
  <si>
    <t>NCT06136390 - OXYMIND: Oxytocin-augmented Group Psychotherapy for Patients With Schizophrenia</t>
  </si>
  <si>
    <t>NCT06136936 - A Multicenter, Exploratory, Randomized, Double-Arm, 4-week Study to Evaluate the Overall Effects of Treatment With Abbreviated CT-156 in People With Schizophrenia</t>
  </si>
  <si>
    <t>NCT06138054 - Improving Community Integration in Homeless Veterans With Serious Mental Illness: A Pilot Study of MI-CBT Enhanced With Mobile Technology</t>
  </si>
  <si>
    <t>NCT06142422 - Intermittent Theta Burst Stimulation of the Precuneus for the Treatment of Resistant Schizophrenia</t>
  </si>
  <si>
    <t>NCT06155695 - Targeting the Auditory Control Network With Auditory Control Enhancement (ACE) in Schizophrenia</t>
  </si>
  <si>
    <t>NCT06159322 - A Study Investigating the Relationship Between the Antipsychotic Response and Non-invasive Proxies of Neurochemistry in Schizophrenia</t>
  </si>
  <si>
    <t>NCT06159673 - A Master Protocol for Three Independent, Seamlessly Enrolling, Double-blind, Placebo-controlled Efficacy and Safety Studies of ACP-204 in Adults With Alzheimer's Disease Psychosis</t>
  </si>
  <si>
    <t>NCT06174116 - Metabolic Effects of Adjunctive Lumateperone Treatment in Clozapine-Treated Patients With Schizophrenia</t>
  </si>
  <si>
    <t>NCT06179108 - A Randomized, Double-blinded, Placebo-controlled, Multicenter Study to Evaluate the Antipsychotic Efficacy and Safety of LB-102 in the Treatment of Adult Patients With Acute Schizophrenia</t>
  </si>
  <si>
    <t>NCT06191965 - Double Blind, Randomized, Placebo-Controlled Study of MitoQ as Adjunctive Treatment for Patients With Early-phase Schizophrenia-spectrum Disorder and Mitochondrial Dysfunction</t>
  </si>
  <si>
    <t>NCT06194799 - A 52-Week, Open-Label Extension Study of ACP-204 in Adults With Alzheimer's Disease Psychosis</t>
  </si>
  <si>
    <t>NCT06208176 - Targeting Multimodal Hallucinations With fMRI-guided High-definition Transcranial Direct Current Stimulation (HD-tDCS) in Schizophrenia</t>
  </si>
  <si>
    <t>NCT06225115 - A First in Human Randomized, Double-blind, Placebo-controlled Study to Evaluate the Safety, Tolerability, and Pharmacokinetics of Single and Multiple Ascending Oral Doses of KYN-5356 in Adult, Healthy Subjects</t>
  </si>
  <si>
    <t>NCT06229210 - An Open-label, Multicenter Trial to Assess the Safety and Tolerability of Lumateperone in the Treatment of Pediatric Patients With Schizophrenia or Bipolar Disorder</t>
  </si>
  <si>
    <t>NCT06231407 - Recovery Oriented Cognitive Therapy (CT-R) Medication Checks: An Acceptability and Feasibility Trial, Standard Operating Procedure</t>
  </si>
  <si>
    <t>NCT06236048 - Energetics and Glutamate in Schizophrenia</t>
  </si>
  <si>
    <t>NCT06245213 - A Study to Evaluate the Safety, Tolerability, Efficacy, Pharmacokinetics, and Electrophysiology of ANAVEX3-71 in Adult Patients With Schizophrenia in a Multiple Ascending Dose Study (Part A), Followed by a Double-Blind, Randomized, Placebo-Controlled Study (Part B)</t>
  </si>
  <si>
    <t>NCT06251193 - Optimizing Cognitive Behavioral Social Skills Training With Executive Function Training for Older Adults With Schizophrenia</t>
  </si>
  <si>
    <t>NCT06257056 - Closed Loop Neuromodulation for Treatment-refractory Schizophrenia: A Pilot Study</t>
  </si>
  <si>
    <t>NCT06270108 - The Role of Glutamatergic Function in the Pathophysiology of Treatment-resistant Schizophrenia</t>
  </si>
  <si>
    <t>NCT06275451 - Qualitative Study of Emotional Regulation in Schizophrenia</t>
  </si>
  <si>
    <t>NCT06278246 - The Muscarinic Hypothesis of Schizophrenia: An [11C]MK-6884 PET Study Study Protocol</t>
  </si>
  <si>
    <t>NCT06315049 - Music Therapy to Reduce Anxiety in Community-Dwelling Individuals With Severe Mental Illness</t>
  </si>
  <si>
    <t>NCT06315283 - A 21-Week, Multicenter, Open-Label, Multiple-Dose Trial to Assess the Comparative Bioavailability of Olanzapine Prolonged-Release Suspension for Subcutaneous Administration (TV-44749) to Oral Olanzapine (European Reference) in Participants With Schizophrenia</t>
  </si>
  <si>
    <t>NCT06319170 - A Multi-center, Open-label, Randomized, Parallel-group Trial to Characterize the Pharmacokinetics of Three SC Olanzapine Extended-Release Formulations With Different Release Rates Following Single Administration in Participants With Schizophrenia or Schizoaffective Disorder</t>
  </si>
  <si>
    <t>NCT06336382 - Tau Biomarkers in Late-onset Psychosis (LOP)</t>
  </si>
  <si>
    <t>NCT06336616 - Getting Out of the House: A Behavioral Activation Approach to Support Community Participation With Individuals With Serious Mental Illness</t>
  </si>
  <si>
    <t>NCT06345963 - Enhancing Brain Connectivity in Schizophrenia Through Neuromodulation (Study 1)</t>
  </si>
  <si>
    <t>NCT06361160 - Reduction of Auditory-Verbal Hallucinations in Schizophrenia Through Cortical Neuromodulation: Towards a Closed-loop System</t>
  </si>
  <si>
    <t>NCT06372210 - An Open-label, Prospective Trial Assessing Positive Detection Accuracy and Detection Latency Measures of the Miniature Ingestible Event Marker Tablet Using the D-Tect Patch in Healthy Subjects and Assessing Detection Latency Measures Using the D-Tect Patch in Subjects With Serious Mental Illness Taking Abilify MyCite Tablet</t>
  </si>
  <si>
    <t>NCT06374290 - Open-label Pilot Study of Injectable Naltrexone and Oral Bupropion Among Cigarette Smokers With Schizophrenia</t>
  </si>
  <si>
    <t>NCT06384521 - Type 2 Diabetes Prevention and Management for People With Serious Mental Illness: A Feasibility Study</t>
  </si>
  <si>
    <t>NCT06386588 - The Effects of Auditory Stimulation During Sleep on Offline Learning and Thalamocortical-hippocampal Connectivity in Schizophrenia</t>
  </si>
  <si>
    <t>NCT06389266 - Network-Targeted Neuromodulation for Nicotine Dependence in Schizophrenia</t>
  </si>
  <si>
    <t>NCT06423651 - Benefits of Combining Metacognitive Training (MCT) With Cognitive Remediation (CR) in the Recovery of Patients With Psychotic Spectrum Disorders (CR+MCTp)</t>
  </si>
  <si>
    <t>NCT06446856 - EVEN - Effects of VR on Empathy for Nature in Patients With Psychosis and Depressive Disorders / Effekte Von Virtueller Realität (VR) Auf Naturverbundenheit Und Empathie in Patient:Innen Mit Psychotischen Und Depressiven Erkrankungen</t>
  </si>
  <si>
    <t>NCT06456983 - Maintenance ElectroConvulsive Therapy in Clozapine RESISTant Schizophrenia - the MECT-RESIST Trial</t>
  </si>
  <si>
    <t>NCT06482554 - Lumateperone for the Improvement of Apathy in Patients With Psychotic Symptoms.</t>
  </si>
  <si>
    <t>NCT06486584 - Contingency Management for Problematic Behavior Reduction in the Community</t>
  </si>
  <si>
    <t>NCT06486948 - A Multicenter, Exploratory, Randomized, Double-Arm, 8-week Study to Evaluate the Feasibility and Acceptability of an Abbreviated Treatment With CT-156 in People With Schizophrenia</t>
  </si>
  <si>
    <t>NCT06494397 - Crossover Bioequivalence Study of 12 mg VHX-896 and Iloperidone Tablets Under Steady-State Conditions</t>
  </si>
  <si>
    <t>NCT06502964 - Double-Blind, Placebo-Controlled Study of ALTO-101 in Patients With Schizophrenia and Cognitive Impairment</t>
  </si>
  <si>
    <t>NCT06505564 - VR-based Avatar Therapy for Treatment of Auditory Hallucinations in Patients With Schizophrenia 2023-SUD-3446</t>
  </si>
  <si>
    <t>NCT06527885 - Treatment Satisfaction and Effectiveness of Lurasidone on Quality of Life and Functioning in Adult Patients With Schizophrenia Treated in the Real World Italian Clinical Practice</t>
  </si>
  <si>
    <t>PMID: 29212415 - Effects of cognitive remediation on cognitive and social functions in individuals with schizophrenia</t>
  </si>
  <si>
    <t>PMID: 29941057 - Switching stable patients with schizophrenia from their oral antipsychotics to aripiprazole lauroxil: a post hoc safety analysis of the initial 12-week crossover period</t>
  </si>
  <si>
    <t>PMID: 30109845 - Long-term safety and tolerability of aripiprazole lauroxil in patients with schizophrenia</t>
  </si>
  <si>
    <t>PMID: 30167782 - Specificity proteins 1 and 4 in peripheral blood mononuclear cells in postmenopausal women with schizophrenia: a 24-week double-blind, randomized, parallel, placebo-controlled trial</t>
  </si>
  <si>
    <t>PMID: 30278853 - A randomized controlled trial of working memory and processing speed training in schizophrenia</t>
  </si>
  <si>
    <t>PMID: 30306884 - Successful switching of patients with acute schizophrenia from another antipsychotic to brexpiprazole: comparison of clinicians' choice of cross-titration schedules in a post hoc analysis of a randomized, double-blind, maintenance treatment study</t>
  </si>
  <si>
    <t>PMID: 30346226 - Effectiveness of integrated psychological therapy on clinical, neuropsychological, emotional and functional outcome in schizophrenia: a RCT study</t>
  </si>
  <si>
    <t>PMID: 30536081 - An experimental medicine study of the phosphodiesterase-4 inhibitor, roflumilast, on working memory-related brain activity and episodic memory in schizophrenia patients</t>
  </si>
  <si>
    <t>PMID: 30569083 - Pimavanserin in Alzheimer's Disease Psychosis: Efficacy in Patients with More Pronounced Psychotic Symptoms</t>
  </si>
  <si>
    <t>PMID: 30599145 - Efference copy/corollary discharge function and targeted cognitive training in patients with schizophrenia</t>
  </si>
  <si>
    <t>PMID: 30606273 - Enhancing return to work or school after a first episode of schizophrenia: the UCLA RCT of Individual Placement and Support and Workplace Fundamentals Module training</t>
  </si>
  <si>
    <t>PMID: 30660574 - Divergence of subjective and performance-based cognitive gains following cognitive training in schizophrenia</t>
  </si>
  <si>
    <t>PMID: 30777584 - Should antipsychotic medications for schizophrenia be given for a lifetime? Replication of a naturalistic, long-term, follow-up study of antipsychotic treatment</t>
  </si>
  <si>
    <t>PMID: 30790597 - Combining CDP-choline and galantamine, an optimized α7 nicotinic strategy, to ameliorate sensory gating to speech stimuli in schizophrenia</t>
  </si>
  <si>
    <t>PMID: 30822774 - Randomized, double-blind, placebo-controlled study of F17464, a preferential D(3) antagonist, in the treatment of acute exacerbation of schizophrenia</t>
  </si>
  <si>
    <t>PMID: 30829190 - Effectiveness of a volunteer befriending programme for patients with schizophrenia: randomised controlled trial</t>
  </si>
  <si>
    <t>PMID: 30903287 - Improvement in depression with oestrogen treatment in women with schizophrenia</t>
  </si>
  <si>
    <t>PMID: 30912222 - Randomized, double-blind, placebo, and risperidone-controlled study of lurasidone in the treatment of schizophrenia: Results of an inconclusive 6-week trial</t>
  </si>
  <si>
    <t>PMID: 30928978 - Investigation of the Gut Microbiome in Patients with Schizophrenia and Clozapine-Induced Weight Gain: Protocol and Clinical Characteristics of First Patient Cohorts</t>
  </si>
  <si>
    <t>PMID: 30937510 - A randomized-controlled trial of treatment for self-stigma among persons diagnosed with schizophrenia-spectrum disorders</t>
  </si>
  <si>
    <t>PMID: 30944045 - Victory is its own reward: oxytocin increases costly competitive behavior in schizophrenia</t>
  </si>
  <si>
    <t>PMID: 30994855 - Efficacy and safety of paliperidone palmitate 3-month formulation in Latin American patients with schizophrenia: A subgroup analysis of data from two large phase 3 randomized, double-blind studies</t>
  </si>
  <si>
    <t>PMID: 31041855 - Blonanserin versus haloperidol in Japanese patients with schizophrenia: A phase 3, 8-week, double-blind, multicenter, randomized controlled study</t>
  </si>
  <si>
    <t>PMID: 31077519 - Effect of adding individualized occupational therapy to standard care on rehospitalization of patients with schizophrenia: A 2-year prospective cohort study</t>
  </si>
  <si>
    <t>PMID: 31077729 - Insight and medication adherence in schizophrenia: An analysis of the CATIE trial</t>
  </si>
  <si>
    <t>PMID: 31103018 - Neural and behavioral effects of oxytocin administration during theory of mind in schizophrenia and controls: a randomized control trial</t>
  </si>
  <si>
    <t>PMID: 31264510 - A novel approach to evaluate the pharmacodynamics of a selective dopamine D1/D5 receptor partial agonist (PF-06412562) in patients with stable schizophrenia</t>
  </si>
  <si>
    <t>PMID: 31298171 - Who will benefit from computerized cognitive remediation therapy? Evidence from a multisite randomized controlled study in schizophrenia</t>
  </si>
  <si>
    <t>PMID: 31343440 - Monthly Extended-Release Risperidone (RBP-7000) in the Treatment of Schizophrenia: Results From the Phase 3 Program</t>
  </si>
  <si>
    <t>PMID: 31353759 - Clinical and brain structural effects of the Illness Management and Recovery program in middle-aged and older patients with schizophrenia</t>
  </si>
  <si>
    <t>PMID: 31365044 - Effect of Adjunctive Estradiol on Schizophrenia Among Women of Childbearing Age: A Randomized Clinical Trial</t>
  </si>
  <si>
    <t>PMID: 31375316 - Personal and social adjustment effects of roluperidone in patients with schizophrenia and negative symptoms: Results from an exploratory outcome of a randomized placebo-controlled trial</t>
  </si>
  <si>
    <t>PMID: 31376788 - Preliminary findings of four-week, task-based anodal prefrontal cortex transcranial direct current stimulation transferring to other cognitive improvements in schizophrenia</t>
  </si>
  <si>
    <t>PMID: 31390660 - Acute and Long-term Memantine Add-on Treatment to Risperidone Improves Cognitive Dysfunction in Patients with Acute and Chronic Schizophrenia</t>
  </si>
  <si>
    <t>PMID: 31416744 - Effectiveness of a mindfulness-based psychoeducation group programme for early-stage schizophrenia: An 18-month randomised controlled trial</t>
  </si>
  <si>
    <t>PMID: 31416745 - The effect of minocycline on amelioration of cognitive deficits and pro-inflammatory cytokines levels in patients with schizophrenia</t>
  </si>
  <si>
    <t>PMID: 31437659 - Nicotine effects on cognitive remediation training outcome in people with schizophrenia: A pilot study</t>
  </si>
  <si>
    <t>PMID: 31446217 - Predicting real-world functioning in outpatients with schizophrenia: Role of inflammation and psychopathology</t>
  </si>
  <si>
    <t>PMID: 31471246 - Efficacy and safety of blonanserin transdermal patch in patients with schizophrenia: A 6-week randomized, double-blind, placebo-controlled, multicenter study</t>
  </si>
  <si>
    <t>PMID: 31477061 - Effectiveness of the Japanese standard family psychoeducation on the mental health of caregivers of young adults with schizophrenia: a randomised controlled trial</t>
  </si>
  <si>
    <t>PMID: 31481703 - A Frameshift Variant in the CHST9 Gene Identified by Family-Based Whole Genome Sequencing Is Associated with Schizophrenia in Chinese Population</t>
  </si>
  <si>
    <t>PMID: 31486890 - A randomized double-blind controlled trial to assess the benefits of amisulpride and olanzapine combination treatment versus each monotherapy in acutely ill schizophrenia patients (COMBINE): methods and design</t>
  </si>
  <si>
    <t>PMID: 31487208 - An open-label randomised comparison of aripiprazole, olanzapine and risperidone for the acute treatment of first-episode schizophrenia: Eight-week outcomes</t>
  </si>
  <si>
    <t>PMID: 31494376 - Randomized controlled trial of adjunctive Valproate for cognitive remediation in early course schizophrenia</t>
  </si>
  <si>
    <t>PMID: 31520149 - Promoting stigma coping and empowerment in patients with schizophrenia and depression: results of a cluster-RCT</t>
  </si>
  <si>
    <t>PMID: 31565796 - Aerobic interval training in standard treatment of out-patients with schizophrenia: a randomized controlled trial</t>
  </si>
  <si>
    <t>PMID: 31595302 - Oxytocin Enhances an Amygdala Circuit Associated With Negative Symptoms in Schizophrenia: A Single-Dose, Placebo-Controlled, Crossover, Randomized Control Trial</t>
  </si>
  <si>
    <t>PMID: 31617138 - A 6-Month Randomized Controlled Pilot Study on the Effects of the Clubhouse Model of Psychosocial Rehabilitation with Chinese Individuals with Schizophrenia</t>
  </si>
  <si>
    <t>PMID: 31617873 - Efficacy and Safety of Transcranial Direct Current Stimulation for Treating Negative Symptoms in Schizophrenia: A Randomized Clinical Trial</t>
  </si>
  <si>
    <t>PMID: 31633254 - Effects of ketamine and midazolam on resting state connectivity and comparison with ENIGMA connectivity deficit patterns in schizophrenia</t>
  </si>
  <si>
    <t>PMID: 31634752 - Resistance training in patients with schizophrenia: Concept and proof of principle trial</t>
  </si>
  <si>
    <t>PMID: 31641831 - Effects of public versus media responsibility messages on stigmatization of people with schizophrenia in an American adult sample</t>
  </si>
  <si>
    <t>PMID: 31642084 - A randomized controlled trial to evaluate the efficacy of metacognitive training for people with schizophrenia applied by mental health nurses: Study protocol</t>
  </si>
  <si>
    <t>PMID: 31648842 - Intervention-specific patterns of cortical function plasticity during auditory encoding in people with schizophrenia</t>
  </si>
  <si>
    <t>PMID: 31651213 - Improving clinical symptoms, functioning, and quality of life in chronic schizophrenia with an integrated psychological therapy (IPT) plus emotional management training (EMT): A controlled clinical trial</t>
  </si>
  <si>
    <t>PMID: 31652166 - Effect of Brexpiprazole on Agitation and Hostility in Patients With Schizophrenia: Post Hoc Analysis of Short- and Long-Term Studies</t>
  </si>
  <si>
    <t>PMID: 31672387 - Predicting relapse with residual symptoms in schizophrenia: A secondary analysis of the PROACTIVE trial</t>
  </si>
  <si>
    <t>PMID: 31678957 - A randomised controlled trial of a case management approach to encourage participation in colorectal cancer screening for people with schizophrenia in psychiatric outpatient clinics: study protocol for the J-SUPPORT 1901 (ACCESS) study</t>
  </si>
  <si>
    <t>PMID: 31685285 - Aerobic exercise and cognitive functioning in schizophrenia: A pilot randomized controlled trial</t>
  </si>
  <si>
    <t>PMID: 31688449 - Dopamine D2 Receptor Occupancy Estimated From Plasma Concentrations of Four Different Antipsychotics and the Subjective Experience of Physical and Mental Well-Being in Schizophrenia: Results From the Randomized NeSSy Trial</t>
  </si>
  <si>
    <t>PMID: 31688451 - Phosphodiesterase 10A Inhibitor Monotherapy Is Not an Effective Treatment of Acute Schizophrenia</t>
  </si>
  <si>
    <t>PMID: 31707749 - Mediating role of cognition and social cognition on creativity among patients with schizophrenia and healthy controls: Revisiting the Shared Vulnerability Model</t>
  </si>
  <si>
    <t>PMID: 31711448 - Retrieval practice improves memory in patients with schizophrenia: new perspectives for cognitive remediation</t>
  </si>
  <si>
    <t>PMID: 31712617 - Polygenic burden associated to oligodendrocyte precursor cells and radial glia influences the hippocampal volume changes induced by aerobic exercise in schizophrenia patients</t>
  </si>
  <si>
    <t>PMID: 31722694 - STructured lifestyle education for people WIth SchizophrEnia (STEPWISE): mixed methods process evaluation of a group-based lifestyle education programme to support weight loss in people with schizophrenia</t>
  </si>
  <si>
    <t>PMID: 31728631 - Effects of raloxifene on cognition in postmenopausal women with schizophrenia: a 24-week double-blind, randomized, parallel, placebo-controlled trial</t>
  </si>
  <si>
    <t>PMID: 31744146 - Effects of Metacognitive Training on Cognitive Insight in a Sample of Patients with Schizophrenia</t>
  </si>
  <si>
    <t>PMID: 31747930 - Liraglutide and the management of overweight and obesity in people with schizophrenia, schizoaffective disorder and first-episode psychosis: protocol for a pilot trial</t>
  </si>
  <si>
    <t>PMID: 31752799 - Change in smoking cessation stage over 1year in patients with schizophrenia: a follow up study in Japan</t>
  </si>
  <si>
    <t>PMID: 31759809 - Oscillatory biomarkers of early auditory information processing predict cognitive gains following targeted cognitive training in schizophrenia patients</t>
  </si>
  <si>
    <t>PMID: 31780589 - Randomised controlled trial of gradual antipsychotic reduction and discontinuation in people with schizophrenia and related disorders: the RADAR trial (Research into Antipsychotic Discontinuation and Reduction)</t>
  </si>
  <si>
    <t>PMID: 31786651 - Effect of single dose N-acetylcysteine administration on resting state functional connectivity in schizophrenia</t>
  </si>
  <si>
    <t>PMID: 31788985 - Blonanserin vs risperidone in Japanese patients with schizophrenia: A post hoc analysis of a phase 3, 8-week, multicenter, double-blind, randomized controlled study</t>
  </si>
  <si>
    <t>PMID: 31825973 - Differences between individuals with schizophrenia or obsessive-compulsive disorder and healthy controls in social cognition and mindfulness skills: A controlled study</t>
  </si>
  <si>
    <t>PMID: 31831201 - An ecological momentary intervention incorporating personalised feedback to improve symptoms and social functioning in schizophrenia spectrum disorders</t>
  </si>
  <si>
    <t>PMID: 31836507 - Social dysfunction in mood disorders and schizophrenia: Clinical modulators in four independent samples</t>
  </si>
  <si>
    <t>PMID: 31837056 - Differential benefits of olanzapine on executive function in schizophrenia patients: Preliminary findings</t>
  </si>
  <si>
    <t>PMID: 31837113 - Safety and effectiveness of lurasidone for the treatment of schizophrenia in Asian patients: Results of a 26-week open-label extension study</t>
  </si>
  <si>
    <t>PMID: 31847007 - A positron emission tomography occupancy study of brexpiprazole at dopamine D(2) and D(3) and serotonin 5-HT(1A) and 5-HT(2A) receptors, and serotonin reuptake transporters in subjects with schizophrenia</t>
  </si>
  <si>
    <t>PMID: 31876117 - Population Pharmacokinetics of Paliperidone Palmitate (Once-Monthly Formulation) in Japanese, Korean, and Taiwanese Patients With Schizophrenia</t>
  </si>
  <si>
    <t>PMID: 31881954 - Psychiatric advance directives for people living with schizophrenia, bipolar I disorders, or schizoaffective disorders: Study protocol for a randomized controlled trial - DAiP study</t>
  </si>
  <si>
    <t>PMID: 31883082 - Long-Term Safety and Efficacy of Blonanserin Transdermal Patches in Japanese Patients with Schizophrenia: A 52-Week Open-Label, Multicenter Study</t>
  </si>
  <si>
    <t>PMID: 31913424 - Efficacy and Safety of Lumateperone for Treatment of Schizophrenia: A Randomized Clinical Trial</t>
  </si>
  <si>
    <t>PMID: 31927311 - Deep brain stimulation in treatment resistant schizophrenia: A pilot randomized cross-over clinical trial</t>
  </si>
  <si>
    <t>PMID: 31954541 - Brief interventions for improving adherence in schizophrenia: A pilot study using electronic medication event monitoring</t>
  </si>
  <si>
    <t>PMID: 31973997 - Adjunctive sapropterin dihydrochloride treatment in schizophrenia: A positive proof-of-concept, rater-blind, randomized, multivitamin-controlled study</t>
  </si>
  <si>
    <t>PMID: 31996174 - Study protocol of a randomised clinical trial testing whether metacognitive training can improve insight and clinical outcomes in schizophrenia</t>
  </si>
  <si>
    <t>PMID: 32007346 - Increased global cognition correlates with increased thalamo-temporal connectivity in response to targeted cognitive training for recent onset schizophrenia</t>
  </si>
  <si>
    <t>PMID: 32015461 - Double blind, two dose, randomized, placebo-controlled, cross-over clinical trial of the positive allosteric modulator at the alpha7 nicotinic cholinergic receptor AVL-3288 in schizophrenia patients</t>
  </si>
  <si>
    <t>PMID: 32036587 - Evaluation of the Efficacy of BI 425809 Pharmacotherapy in Patients with Schizophrenia Receiving Computerized Cognitive Training: Methodology for a Double-blind, Randomized, Parallel-group Trial</t>
  </si>
  <si>
    <t>PMID: 32052567 - Social cognition and interaction training for recent-onset schizophrenia: A preliminary randomized trial</t>
  </si>
  <si>
    <t>PMID: 32062728 - Reducing antipsychotic drugs in stable patients with chronic schizophrenia or schizoaffective disorder: a randomized controlled pilot trial</t>
  </si>
  <si>
    <t>PMID: 32068895 - Levels of distress tolerance in schizophrenia appear equivalent to those found in borderline personality disorder</t>
  </si>
  <si>
    <t>PMID: 32098946 - High-frequency neuronavigated rTMS effect on clinical symptoms and cognitive dysfunction: a pilot double-blind, randomized controlled study in Veterans with schizophrenia</t>
  </si>
  <si>
    <t>PMID: 32107101 - Lack of ECT effects on clozapine plasma levels in patients with treatment-resistant schizophrenia: Pharmacokinetic evidence from a randomized clinical trial</t>
  </si>
  <si>
    <t>PMID: 32122230 - Vortioxetine as adjunctive therapy to risperidone for treatment of patients with chronic schizophrenia: A randomised, double-blind, placebo-controlled clinical trial</t>
  </si>
  <si>
    <t>PMID: 32141723 - Efficacy and Safety of a Combination of Olanzapine and Samidorphan in Adult Patients With an Acute Exacerbation of Schizophrenia: Outcomes From the Randomized, Phase 3 ENLIGHTEN-1 Study</t>
  </si>
  <si>
    <t>PMID: 32141724 - Early- Versus Adult-Onset Schizophrenia as a Predictor of Response to Neuroscience-Informed Cognitive Training</t>
  </si>
  <si>
    <t>PMID: 32160422 - Olanzapine Plus Samidorphan (ALKS 3831) in Schizophrenia and Comorbid Alcohol Use Disorder: A Phase 2, Randomized Clinical Trial</t>
  </si>
  <si>
    <t>PMID: 32169403 - Air pollution and hippocampal atrophy in first episode schizophrenia</t>
  </si>
  <si>
    <t>PMID: 32180369 - Early improvements of individual symptoms as a predictor of treatment response to asenapine in patients with schizophrenia</t>
  </si>
  <si>
    <t>PMID: 32220153 - Course of Psychosis in Schizophrenia With Alcohol Use Disorder: A Post Hoc Analysis of the Clinical Antipsychotic Trials of Intervention Effectiveness in Schizophrenia Phase 1 Study</t>
  </si>
  <si>
    <t>PMID: 32237292 - Metabolic Effects of 7 Antipsychotics on Patients With Schizophrenia: A Short-Term, Randomized, Open-Label, Multicenter, Pharmacologic Trial</t>
  </si>
  <si>
    <t>PMID: 32239365 - Factors Predicting Response to the Recovery-Oriented Cognitive Behavioural Workshop for Persons Diagnosed with Schizophrenia</t>
  </si>
  <si>
    <t>PMID: 32250132 - A randomized study on the efficacy of the Social Cognition Training Program-brief version in a sample of patients with schizophrenia</t>
  </si>
  <si>
    <t>PMID: 32276953 - Effects of brief family psychoeducation for caregivers of people with schizophrenia in Japan provided by visiting nurses: protocol for a cluster randomised controlled trial</t>
  </si>
  <si>
    <t>PMID: 32294346 - A Non-D2-Receptor-Binding Drug for the Treatment of Schizophrenia</t>
  </si>
  <si>
    <t>PMID: 32297486 - Post-hoc analysis investigating the safety and efficacy of brexpiprazole in Japanese patients with schizophrenia who were switched from other antipsychotics in a long-term study (Secondary Publication)</t>
  </si>
  <si>
    <t>PMID: 32332459 - Lurasidone Improves Psychopathology and Cognition in Treatment-Resistant Schizophrenia</t>
  </si>
  <si>
    <t>PMID: 32332475 - The Effects of a Gluten-Free Diet on Immune Markers and Kynurenic Acid Pathway Metabolites in Patients With Schizophrenia Positive for Antigliadin Antibodies Immunoglobulin G</t>
  </si>
  <si>
    <t>PMID: 32340927 - Memantine Effects on Electroencephalographic Measures of Putative Excitatory/Inhibitory Balance in Schizophrenia</t>
  </si>
  <si>
    <t>PMID: 32349117 - One-day tropisetron treatment improves cognitive deficits and P50 inhibition deficits in schizophrenia</t>
  </si>
  <si>
    <t>PMID: 32349835 - Improving social function with real-world social-cognitive remediation in schizophrenia: Results from the RemedRugby quasi-experimental trial</t>
  </si>
  <si>
    <t>PMID: 32354661 - How continuum beliefs can reduce stigma of schizophrenia: The role of perceived similarities</t>
  </si>
  <si>
    <t>PMID: 32393412 - Long-term safety and durability of effect with a combination of olanzapine and samidorphan in patients with schizophrenia: results from a 1-year open-label extension study</t>
  </si>
  <si>
    <t>PMID: 32401072 - The role of dance/movement therapy in the treatment of negative symptoms in schizophrenia: a mixed methods pilot study</t>
  </si>
  <si>
    <t>PMID: 32403118 - Proof of mechanism and target engagement of glutamatergic drugs for the treatment of schizophrenia: RCTs of pomaglumetad and TS-134 on ketamine-induced psychotic symptoms and pharmacoBOLD in healthy volunteers</t>
  </si>
  <si>
    <t>PMID: 32433835 - Efficacy and Safety of a 2-Month Formulation of Aripiprazole Lauroxil With 1-Day Initiation in Patients Hospitalized for Acute Schizophrenia Transitioned to Outpatient Care: Phase 3, Randomized, Double-Blind, Active-Control ALPINE Study</t>
  </si>
  <si>
    <t>PMID: 32448677 - Auditory versus visual neuroscience-informed cognitive training in schizophrenia: Effects on cognition, symptoms and quality of life</t>
  </si>
  <si>
    <t>PMID: 32450497 - Effect of brexpiprazole on control of impulsivity in schizophrenia: A randomized functional magnetic resonance imaging study</t>
  </si>
  <si>
    <t>PMID: 32458107 - A web-based adapted physical activity program (e-APA) versus health education program (e-HE) in patients with schizophrenia and healthy volunteers: study protocol for a randomized controlled trial (PEPSY V@Si)</t>
  </si>
  <si>
    <t>PMID: 32483253 - The Visual Word Form Area compensates for auditory working memory dysfunction in schizophrenia</t>
  </si>
  <si>
    <t>PMID: 32513424 - Glutamatergic Contribution to Probabilistic Reasoning and Jumping to Conclusions in Schizophrenia: A Double-Blind, Randomized Experimental Trial</t>
  </si>
  <si>
    <t>PMID: 32519208 - Assessment of Psychosocial Functioning in a Large Cohort of Patients with Schizophrenia</t>
  </si>
  <si>
    <t>PMID: 32539907 - Implementing shared decision-making on acute psychiatric wards: a cluster-randomized trial with inpatients suffering from schizophrenia (SDM-PLUS)</t>
  </si>
  <si>
    <t>PMID: 32606055 - Supervised treatment in outpatients for schizophrenia plus (STOPS+): protocol for a cluster randomised trial of a community-based intervention to improve treatment adherence and reduce the treatment gap for schizophrenia in Pakistan</t>
  </si>
  <si>
    <t>PMID: 32613525 - Development and Initial Testing of an mHealth Transitions of Care Intervention for Adults with Schizophrenia-Spectrum Disorders Immediately Following a Psychiatric Hospitalization</t>
  </si>
  <si>
    <t>PMID: 32614046 - Online Social Cognition Training in Schizophrenia: A Double-Blind, Randomized, Controlled Multi-Site Clinical Trial</t>
  </si>
  <si>
    <t>PMID: 32633541 - Time to Clinical Response in the Treatment of Early Onset Schizophrenia Spectrum Disorders Study</t>
  </si>
  <si>
    <t>PMID: 32639291 - Vortioxetine on Cognition in Schizophrenia: A Pilot Study</t>
  </si>
  <si>
    <t>PMID: 32648810 - Efficacy and safety of brexpiprazole in patients with schizophrenia presenting with severe symptoms: Post-hoc analysis of short- and long-term studies</t>
  </si>
  <si>
    <t>PMID: 32667636 - Effect of Long-Acting Injectable Antipsychotics vs Usual Care on Time to First Hospitalization in Early-Phase Schizophrenia: A Randomized Clinical Trial</t>
  </si>
  <si>
    <t>PMID: 32679400 - Determinants of healthcare use by homeless people with schizophrenia or bipolar disorder: results from the French Housing First Study</t>
  </si>
  <si>
    <t>PMID: 32686552 - An empirical examination of the biogenetic approach in schizophrenia stigma reduction through an attribution lens</t>
  </si>
  <si>
    <t>PMID: 32693320 - Cognitive remediation and brain connectivity: A resting-state fMRI study in patients with schizophrenia</t>
  </si>
  <si>
    <t>PMID: 32748261 - Aerobic endurance training to improve cognition and enhance recovery in schizophrenia: design and methodology of a multicenter randomized controlled trial</t>
  </si>
  <si>
    <t>PMID: 32750572 - Clinical outcomes from the texting for relapse prevention (T4RP) in schizophrenia and schizoaffective disorder study</t>
  </si>
  <si>
    <t>PMID: 32763112 - Examining the effect of a mindfulness based program for the improvement of cognitive function in an early stage of schizophrenia. A random controlled trial</t>
  </si>
  <si>
    <t>PMID: 32790451 - Mobile enhancement of motivation in schizophrenia: A pilot randomized controlled trial of a personalized text message intervention for motivation deficits</t>
  </si>
  <si>
    <t>PMID: 32791894 - Effects of Olanzapine Combined With Samidorphan on Weight Gain in Schizophrenia: A 24-Week Phase 3 Study</t>
  </si>
  <si>
    <t>PMID: 32796391 - Anti-inflammatory Combination Therapy for the Treatment of Schizophrenia</t>
  </si>
  <si>
    <t>PMID: 32841554 - Beyond 52-Week Long-Term Safety: Long-Term Outcomes of Aripiprazole Lauroxil for Patients With Schizophrenia Continuing in an Extension Study</t>
  </si>
  <si>
    <t>PMID: 32846328 - Factors associated with discontinuation in the drug and placebo groups of trials of second generation antipsychotics for acute schizophrenia: A meta-regression analysis: Discontinuation in antipsychotic trials</t>
  </si>
  <si>
    <t>PMID: 32854568 - The effects of roflumilast, a phosphodiesterase type-4 inhibitor, on EEG biomarkers in schizophrenia: A randomised controlled trial</t>
  </si>
  <si>
    <t>PMID: 32868522 - The effectiveness of very slow switching to aripiprazole in schizophrenia patients with dopamine supersensitivity psychosis: a case series from an open study</t>
  </si>
  <si>
    <t>PMID: 32893328 - Effects of fingolimod, a sphingosine-1-phosphate (S1P) receptor agonist, on white matter microstructure, cognition and symptoms in schizophrenia</t>
  </si>
  <si>
    <t>PMID: 32919407 - The effects of eszopiclone on sleep spindles and memory consolidation in schizophrenia: a randomized clinical trial</t>
  </si>
  <si>
    <t>PMID: 32920492 - A randomized-controlled trial of blonanserin and olanzapine as adjunct to antipsychotics in the treatment of patients with schizophrenia and dopamine supersensitivity psychosis: The ROADS study</t>
  </si>
  <si>
    <t>PMID: 32930011 - Culturally adapted family intervention for schizophrenia in Pakistan: a feasibility study</t>
  </si>
  <si>
    <t>PMID: 32936897 - Striatal Dopamine D2 Receptor Occupancy Induced by Daily Application of Blonanserin Transdermal Patches: Phase II Study in Japanese Patients With Schizophrenia</t>
  </si>
  <si>
    <t>PMID: 32943079 - Assessment of the efficacy of a fatigue management therapy in schizophrenia: study protocol for a randomized, controlled multi-centered study (ENERGY)</t>
  </si>
  <si>
    <t>PMID: 32945774 - New Path to Recovery and Well-Being: Cross-Sectional Study on WeChat Use and Endorsement of WeChat-Based mHealth Among People Living With Schizophrenia in China</t>
  </si>
  <si>
    <t>PMID: 32961542 - Memantine effects on auditory discrimination and training in schizophrenia patients</t>
  </si>
  <si>
    <t>PMID: 32981534 - A randomized controlled trial of cognitive remediation and long-acting injectable risperidone after a first episode of schizophrenia: improving cognition and work/school functioning</t>
  </si>
  <si>
    <t>PMID: 33002684 - Positive memory training for the treatment of depression in schizophrenia: A randomised controlled trial</t>
  </si>
  <si>
    <t>PMID: 33009905 - Confidence in visual motion discrimination is preserved in individuals with schizophrenia</t>
  </si>
  <si>
    <t>PMID: 33077012 - Safety and effectiveness of lurasidone in adolescents with schizophrenia: results of a 2-year, open-label extension study</t>
  </si>
  <si>
    <t>PMID: 33087170 - Suicide Reduction in Schizophrenia via Exercise (SUnRISE): study protocol for a multi-site, single-blind, randomized clinical trial of aerobic exercise for suicide risk reduction in individuals with schizophrenia</t>
  </si>
  <si>
    <t>PMID: 33108030 - One-year aerobic interval training in outpatients with schizophrenia: A randomized controlled trial</t>
  </si>
  <si>
    <t>PMID: 33113211 - Strength training restores force-generating capacity in patients with schizophrenia</t>
  </si>
  <si>
    <t>PMID: 33138708 - Efficacy and Safety of Pharmacotherapeutic Smoking Cessation Aids in Schizophrenia Spectrum Disorders: Subgroup Analysis of EAGLES</t>
  </si>
  <si>
    <t>PMID: 33141785 - Single-Session Dance/Movement Therapy for Thought and Behavioral Dysfunction Associated With Schizophrenia: A Mixed Methods Feasibility Study</t>
  </si>
  <si>
    <t>PMID: 33161162 - Deconstructing depression and negative symptoms of schizophrenia; differential and longitudinal immune correlates, and response to minocycline treatment</t>
  </si>
  <si>
    <t>PMID: 33183362 - Functional connectivity associated with improvement in emotion management after cognitive enhancement therapy in early-course schizophrenia</t>
  </si>
  <si>
    <t>PMID: 33203954 - Phase 1 randomized study on the safety, tolerability, and pharmacodynamic cognitive and electrophysiological effects of a dopamine D(1) receptor positive allosteric modulator in patients with schizophrenia</t>
  </si>
  <si>
    <t>PMID: 33208710 - Reanalysis of a Phase 3 Trial of a Monthly Extended-Release Risperidone Injection for the Treatment of Acute Schizophrenia</t>
  </si>
  <si>
    <t>PMID: 33210279 - Effectiveness of the &amp;#8220;Trisquel&amp;#8221; board game intervention program for patients with schizophrenia spectrum disorders</t>
  </si>
  <si>
    <t>PMID: 33222210 - Assessing the efficacy and feasibility of providing metacognitive training for patients with schizophrenia by mental health nurses: A randomized controlled trial</t>
  </si>
  <si>
    <t>PMID: 33223272 - Characterization of specific and distinct patient types in clinical trials of acute schizophrenia using an uncorrelated PANSS score matrix transform (UPSM)</t>
  </si>
  <si>
    <t>PMID: 33230190 - Gamma oscillations predict pro-cognitive and clinical response to auditory-based cognitive training in schizophrenia</t>
  </si>
  <si>
    <t>PMID: 33258788 - Mobile Texting and Lay Health Supporters to Improve Schizophrenia Care in a Resource-Poor Community in Rural China (LEAN Trial): Randomized Controlled Trial Extended Implementation</t>
  </si>
  <si>
    <t>PMID: 33272766 - Self-concept and Engagement in LiFe (SELF): A waitlist-controlled pilot study of a novel psychological intervention to target illness engulfment in enduring schizophrenia and related psychoses</t>
  </si>
  <si>
    <t>PMID: 33279374 - Sequential Multiple-Assignment Randomized Trials to Compare Antipsychotic Treatments (SMART-CAT) in first-episode schizophrenia patients: Rationale and trial design</t>
  </si>
  <si>
    <t>PMID: 33290939 - Reducing negative symptoms in schizophrenia: Feasibility and acceptability of a combined cognitive-behavioral social skills training and compensatory cognitive training intervention</t>
  </si>
  <si>
    <t>PMID: 33292873 - Adjunctive yoga training for persons with schizophrenia: who benefits?</t>
  </si>
  <si>
    <t>PMID: 33326711 - Efficacy and Safety of HP-3070, an Asenapine Transdermal System, in Patients With Schizophrenia: A Phase 3, Randomized, Placebo-Controlled Study</t>
  </si>
  <si>
    <t>PMID: 33340522 - Preliminary evidence that oxytocin does not improve mentalizing in women with schizophrenia</t>
  </si>
  <si>
    <t>PMID: 33347024 - No Effect of Coenzyme Q10 on Cognitive Function, Psychological Symptoms, and Health-related Outcomes in Schizophrenia and Schizoaffective Disorder: Results of a Randomized, Placebo-Controlled Trial</t>
  </si>
  <si>
    <t>PMID: 33389108 - Enhancement of aerobic fitness improves social functioning in individuals with schizophrenia</t>
  </si>
  <si>
    <t>PMID: 33434727 - Mindfulness-based group therapy for in-patients with schizophrenia spectrum disorders - Feasibility, acceptability, and preliminary outcomes of a rater-blinded randomized controlled trial</t>
  </si>
  <si>
    <t>PMID: 33434958 - Effects of Long-Acting Injectable Paliperidone Palmitate on Clinical and Functional Outcomes in Patients With Schizophrenia Based on Illness Duration</t>
  </si>
  <si>
    <t>PMID: 33479775 - Adjunctive Aspirin vs Placebo in Patients With Schizophrenia: Results of Two Randomized Controlled Trials</t>
  </si>
  <si>
    <t>PMID: 33484269 - Reducing Stigma Toward Individuals With Schizophrenia Using a Brief Video: A Randomized Controlled Trial of Young Adults</t>
  </si>
  <si>
    <t>PMID: 33551284 - Effects of Repetitive Transcranial Magnetic Stimulation on Working Memory Performance and Brain Structure in People With Schizophrenia Spectrum Disorders: A Double-Blind, Randomized, Sham-Controlled Trial</t>
  </si>
  <si>
    <t>PMID: 33587397 - Effects of Oxytocin on Emotion Recognition in Schizophrenia: A Randomized Double-Blind Pilot Study</t>
  </si>
  <si>
    <t>PMID: 33587401 - Prebiotic Treatment Increases Serum Butyrate in People With Schizophrenia: Results of an Open-Label Inpatient Pilot Clinical Trial</t>
  </si>
  <si>
    <t>PMID: 33603385 - Hummingbird Study: Results from an Exploratory Trial Assessing the Performance and Acceptance of a Digital Medicine System in Adults with Schizophrenia, Schizoaffective Disorder, or First-Episode Psychosis</t>
  </si>
  <si>
    <t>PMID: 33608711 - Simvastatin Augmentation for Patients With Early-Phase Schizophrenia-Spectrum Disorders: A Double-Blind, Randomized Placebo-Controlled Trial</t>
  </si>
  <si>
    <t>PMID: 33610228 - Efficacy and safety of the novel glycine transporter inhibitor BI 425809 once daily in patients with schizophrenia: a double-blind, randomised, placebo-controlled phase 2 study</t>
  </si>
  <si>
    <t>PMID: 33626254 - Muscarinic Cholinergic Receptor Agonist and Peripheral Antagonist for Schizophrenia</t>
  </si>
  <si>
    <t>PMID: 33630646 - The acute dose and baseline amplitude-dependent effects of CDP-choline on deviance detection (MMN) in chronic schizophrenia: A pilot study</t>
  </si>
  <si>
    <t>PMID: 33711681 - The effect of prednisolone on symptom severity in schizophrenia: A placebo-controlled, randomized controlled trial</t>
  </si>
  <si>
    <t>PMID: 33711781 - Impact on carer burden when stable patients with schizophrenia transitioned from 1-monthly to 3-monthly paliperidone palmitate</t>
  </si>
  <si>
    <t>PMID: 33735740 - The Effects of Repetitive Transcranial Magnetic Stimulation in Patients with Chronic Schizophrenia: Insights from EEG Microstates</t>
  </si>
  <si>
    <t>PMID: 33753755 - The effect of training intensity on implicit learning rates in schizophrenia</t>
  </si>
  <si>
    <t>PMID: 33783399 - Combined Oxytocin and Cognitive Behavioral Social Skills Training for Social Function in People With Schizophrenia</t>
  </si>
  <si>
    <t>PMID: 33814546 - Association of Aripiprazole With Reduced Hippocampal Atrophy During Maintenance Treatment of First-Episode Schizophrenia</t>
  </si>
  <si>
    <t>PMID: 33839372 - Randomized controlled trial of an adjunctive sulforaphane nutraceutical in schizophrenia</t>
  </si>
  <si>
    <t>PMID: 33849683 - Auditory discrimination and frequency modulation learning in schizophrenia patients: amphetamine within-subject dose response and time course</t>
  </si>
  <si>
    <t>PMID: 33853701 - Cognitive remediation and professional insertion of people with schizophrenia: RemedRehab, a randomized controlled trial</t>
  </si>
  <si>
    <t>PMID: 33854039 - Metformin for early comorbid glucose dysregulation and schizophrenia spectrum disorders: a pilot double-blind randomized clinical trial</t>
  </si>
  <si>
    <t>PMID: 33857028 - Mononitrate Isosorbide as an Adjunctive Therapy in Schizophrenia: A Randomized Controlled Crossover Trial</t>
  </si>
  <si>
    <t>PMID: 33858488 - A prospective multicenter assessor-blinded randomized controlled study to compare the efficacy of short versus long protocols of electroconvulsive therapy as an augmentation strategy to clozapine in patients with ultra-resistant schizophrenia (SURECT study)</t>
  </si>
  <si>
    <t>PMID: 33894334 - Left prefrontal transcranial direct-current stimulation reduces symptom-severity and acutely enhances working memory in schizophrenia</t>
  </si>
  <si>
    <t>PMID: 33895598 - Randomized trial of a brief peer support intervention for individuals with schizophrenia transitioning from hospital to community</t>
  </si>
  <si>
    <t>PMID: 33902519 - Scale development and an educational program to reduce the stigma of schizophrenia among community pharmacists: a randomized controlled trial</t>
  </si>
  <si>
    <t>PMID: 33908296 - Preliminary evidence for the phosphodiesterase type-4 inhibitor, roflumilast, in ameliorating cognitive flexibility deficits in patients with schizophrenia</t>
  </si>
  <si>
    <t>PMID: 33961863 - The limited effect of neural stimulation on visual attention and social cognition in individuals with schizophrenia</t>
  </si>
  <si>
    <t>PMID: 33962354 - Feasibility and acceptability of remotely accessed cognitive remediation for schizophrenia in public health settings</t>
  </si>
  <si>
    <t>PMID: 33963227 - The gut microbiome is associated with brain structure and function in schizophrenia</t>
  </si>
  <si>
    <t>PMID: 33966678 - Efficacy and safety of lurasidone in adolescents and young adults with schizophrenia: A pooled post hoc analysis of double-blind, placebo-controlled 6-week studies</t>
  </si>
  <si>
    <t>PMID: 33988924 - Treatment Effect With Paliperidone Palmitate Compared With Oral Antipsychotics in Black/African American Patients With Schizophrenia and a History of Criminal Justice System Involvement: A Post Hoc Analysis of the PRIDE Study</t>
  </si>
  <si>
    <t>PMID: 33998142 - Relationships between early age at onset of psychotic symptoms and treatment resistant schizophrenia</t>
  </si>
  <si>
    <t>PMID: 34015555 - A phase 3, multicenter study to assess the 1-year safety and tolerability of a combination of olanzapine and samidorphan in patients with schizophrenia: Results from the ENLIGHTEN-2 long-term extension</t>
  </si>
  <si>
    <t>PMID: 34015556 - Audio-digital recordings to assess ratings reliability in clinical trials of schizophrenia</t>
  </si>
  <si>
    <t>PMID: 34112279 - The effectiveness of volunteer befriending for improving the quality of life of patients with schizophrenia in Bosnia and Herzegovina - an exploratory randomised controlled trial</t>
  </si>
  <si>
    <t>PMID: 34126426 - Experimentally exploring the potential behavioral effects of personalized genetic information about marijuana and schizophrenia risk</t>
  </si>
  <si>
    <t>PMID: 34170518 - Effects of mild-intensity physical exercise on neurocognition in inpatients with schizophrenia: A pilot randomized controlled trial</t>
  </si>
  <si>
    <t>PMID: 34187420 - Telemedical care and quality of life in patients with schizophrenia and bipolar disorder: results of a randomized controlled trial</t>
  </si>
  <si>
    <t>PMID: 34242396 - Encouraging participation in colorectal cancer screening for people with schizophrenia: A randomized controlled trial</t>
  </si>
  <si>
    <t>PMID: 34258833 - Barriers and facilitators of shared decision making in acutely ill inpatients with schizophrenia-Qualitative findings from the intervention group of a randomised-controlled trial</t>
  </si>
  <si>
    <t>PMID: 34261408 - Depression and suicidal ideation in schizophrenia spectrum disorder: a cross-sectional study from a lower middle-income country</t>
  </si>
  <si>
    <t>PMID: 34270620 - Acute effects of a single dose of 2 mA of anodal transcranial direct current stimulation over the left dorsolateral prefrontal cortex on executive functions in patients with schizophrenia-A randomized controlled trial</t>
  </si>
  <si>
    <t>PMID: 34289275 - Trial of Pimavanserin in Dementia-Related Psychosis</t>
  </si>
  <si>
    <t>PMID: 34301454 - Aerobic exercise and cognitive functioning in schizophrenia: Findings of dose-response analysis from a pilot randomized controlled trial</t>
  </si>
  <si>
    <t>PMID: 34304146 - Cognitive outcomes after tDCS in schizophrenia patients with prominent negative symptoms: Results from the placebo-controlled STARTS trial</t>
  </si>
  <si>
    <t>PMID: 34309576 - Use of Ecological Momentary Assessment Through a Passive Smartphone-Based App (eB2) by Patients With Schizophrenia: Acceptability Study</t>
  </si>
  <si>
    <t>PMID: 34332374 - Social Cognition and Interaction Training (SCIT) versus Training in Affect Recognition (TAR) in patients with schizophrenia: A randomized controlled trial</t>
  </si>
  <si>
    <t>PMID: 34332429 - Enhancing stress reactivity and wellbeing in early schizophrenia: A randomized controlled trial of Integrated Coping Awareness Therapy (I-CAT)</t>
  </si>
  <si>
    <t>PMID: 34404290 - Evaluating pimavanserin as a treatment for psychiatric disorders: A pharmacological property in search of an indication</t>
  </si>
  <si>
    <t>PMID: 34410749 - Personalizing interventions using real-world interactions: Improving symptoms and social functioning in schizophrenia with tailored metacognitive therapy</t>
  </si>
  <si>
    <t>PMID: 34428118 - The effectiveness of metacognitive training on impairments in social cognition in patients with schizophrenia: mental health nursing practice in a community mental health center</t>
  </si>
  <si>
    <t>PMID: 34429604 - Safety and Effectiveness of Lurasidone in Patients with Schizophrenia: A 12-Week, Open-Label Extension Study</t>
  </si>
  <si>
    <t>PMID: 34470506 - Confirmatory Efficacy of Cognitive Enhancement Therapy for Early Schizophrenia: Results From a Multisite Randomized Trial</t>
  </si>
  <si>
    <t>PMID: 34500174 - Central auditory processing deficits in schizophrenia: Effects of auditory-based cognitive training</t>
  </si>
  <si>
    <t>PMID: 34510196 - Durable Cognitive Gains and Symptom Improvement Are Observed in Individuals With Recent-Onset Schizophrenia 6 Months After a Randomized Trial of Auditory Training Completed Remotely</t>
  </si>
  <si>
    <t>PMID: 34544343 - Antioxidant Enzymes and Weight Gain in Drug-naive First-episode Schizophrenia Patients Treated with Risperidone for 12 Weeks: A Prospective Longitudinal Study</t>
  </si>
  <si>
    <t>PMID: 34551218 - PANSS Individual Item and Marder Dimension Analyses From a Pivotal Trial of RBP-7000 (Monthly Extended-Release Risperidone) in Schizophrenia Patients</t>
  </si>
  <si>
    <t>PMID: 34561058 - Evaluation of an educational wellness program by sex differences in community-dwelling Japanese patients with schizophrenia</t>
  </si>
  <si>
    <t>PMID: 34570061 - Acceptability of Texting 4 Relapse Prevention, Text Messaging-Based Relapse Prevention Program for People With Schizophrenia and Schizoaffective Disorder</t>
  </si>
  <si>
    <t>PMID: 34625041 - Aripiprazole lauroxil 2-month formulation with 1-day initiation in patients hospitalized for an acute exacerbation of schizophrenia: exploratory efficacy and patient-reported outcomes in the randomized controlled ALPINE study</t>
  </si>
  <si>
    <t>PMID: 34626144 - Discontinuation and remission rates and social functioning in patients with schizophrenia receiving second-generation antipsychotics: 52-week evaluation of JUMPs, a randomized, open-label study</t>
  </si>
  <si>
    <t>PMID: 34633280 - The Relational Trip Task, a novel ecological measure of relational memory: data from a schizophrenia sample</t>
  </si>
  <si>
    <t>PMID: 34649083 - A new electronically based clinical pathway for schizophrenia inpatients: A longitudinal pilot study</t>
  </si>
  <si>
    <t>PMID: 34653740 - Intermittent theta burst stimulation of cerebellar vermis enhances fronto-cerebellar resting state functional connectivity in schizophrenia with predominant negative symptoms: A randomized controlled trial</t>
  </si>
  <si>
    <t>PMID: 34667261 - Effect of mGluR2 positive allosteric modulation on frontostriatal working memory activation in schizophrenia</t>
  </si>
  <si>
    <t>PMID: 34673326 - Evaluation of the frequency following response as a predictive biomarker of response to cognitive training in schizophrenia</t>
  </si>
  <si>
    <t>PMID: 34700212 - Site-independent confirmation of primary site-based PANSS ratings in a schizophrenia trial</t>
  </si>
  <si>
    <t>PMID: 34740708 - Switching from blonanserin oral tablets/powders to transdermal patches alleviates extrapyramidal symptoms in patients with schizophrenia: A 52-week open-label study</t>
  </si>
  <si>
    <t>PMID: 34766787 - Cross-cultural comparisons of the effect of a schizophrenia label on stigmatizing family attitudes: A case vignette study</t>
  </si>
  <si>
    <t>PMID: 34785674 - The trajectory of putative astroglial dysfunction in first episode schizophrenia: a longitudinal 7-Tesla MRS study</t>
  </si>
  <si>
    <t>PMID: 34791283 - A Randomized, Double-Blind, Multicenter, Noninferiority Study Comparing Paliperidone Palmitate 6-Month Versus the 3-Month Long-Acting Injectable in Patients With Schizophrenia</t>
  </si>
  <si>
    <t>PMID: 34814232 - Evaluating the effect of black myrobalan on cognitive, positive, and negative symptoms in patients with chronic schizophrenia: A randomized, double-blind, placebo-controlled trial</t>
  </si>
  <si>
    <t>PMID: 34839074 - Computerized or manual? Long term effects of cognitive remediation on schizophrenia</t>
  </si>
  <si>
    <t>PMID: 34847501 - Long-term efficacy and safety of once-monthly Risperidone ISM® in the treatment of schizophrenia: Results from a 12-month open-label extension study</t>
  </si>
  <si>
    <t>PMID: 34861170 - Pimavanserin for negative symptoms of schizophrenia: results from the ADVANCE phase 2 randomised, placebo-controlled trial in North America and Europe</t>
  </si>
  <si>
    <t>PMID: 34886117 - Feasibility of an Intervention Delivered via Mobile Phone and Internet to Improve the Continuity of Care in Schizophrenia: A Randomized Controlled Pilot Study</t>
  </si>
  <si>
    <t>PMID: 34896870 - Cognitive-Behavioral Social Skills Training for patients with late-life schizophrenia and the moderating effect of executive dysfunction</t>
  </si>
  <si>
    <t>PMID: 34930729 - Prospective, observational, single-centre cohort study with an independent control group matched for age and sex aimed at investigating the significance of cholinergic activity in patients with schizophrenia: study protocol of the CLASH-study</t>
  </si>
  <si>
    <t>PMID: 34934115 - The short and long-term effects of aerobic, strength, or mixed exercise programs on schizophrenia symptomatology</t>
  </si>
  <si>
    <t>PMID: 34963486 - Examining transcranial random noise stimulation as an add-on treatment for persistent symptoms in schizophrenia (STIM'Zo): a study protocol for a multicentre, double-blind, randomized sham-controlled clinical trial</t>
  </si>
  <si>
    <t>PMID: 34983438 - Perceived burden and family functioning among informal caregivers of individuals living with schizophrenia in Tanzania: a cross-sectional study</t>
  </si>
  <si>
    <t>PMID: 34989824 - Efficacy and safety of aripiprazole once-monthly versus oral aripiprazole in Chinese patients with acute schizophrenia: a multicenter, randomized, double-blind, non-inferiority study</t>
  </si>
  <si>
    <t>PMID: 34991040 - Video self-confrontation as a therapeutic tool in schizophrenia: A randomized parallel-arm single-blind trial</t>
  </si>
  <si>
    <t>PMID: 35012696 - The efficacy and safety of cariprazine in the early and late stage of schizophrenia: a post hoc analysis of three randomized, placebo-controlled trials</t>
  </si>
  <si>
    <t>PMID: 35032906 - Long-term safety and effectiveness of open-label lurasidone in antipsychotic-Naïve versus previously treated adolescents with Schizophrenia: A post-hoc analysis</t>
  </si>
  <si>
    <t>PMID: 35037116 - Improvement of adjunctive berberine treatment on negative symptoms in patients with schizophrenia</t>
  </si>
  <si>
    <t>PMID: 35133884 - Efficacy and Safety of Blonanserin Oral Tablet in Adolescents with Schizophrenia: A 6-Week, Randomized Placebo-Controlled Study</t>
  </si>
  <si>
    <t>PMID: 35150309 - Multifamily groups for patients with schizophrenia: an exploratory randomised controlled trial in Bosnia and Herzegovina</t>
  </si>
  <si>
    <t>PMID: 35176740 - Investigating the Contribution of Decision-Making, Cognitive Insight, and Theory of Mind in Insight in Schizophrenia: A Cross-Sectional Study</t>
  </si>
  <si>
    <t>PMID: 35177673 - Lower multisensory temporal acuity in individuals with high schizotypal traits: a web-based study</t>
  </si>
  <si>
    <t>PMID: 35182906 - Changes in emotion processing and social cognition with auditory versus visual neuroscience-informed cognitive training in individuals with schizophrenia</t>
  </si>
  <si>
    <t>PMID: 35193729 - The efficacy of cariprazine on cognition: a post hoc analysis from phase II/III clinical trials in bipolar mania, bipolar depression, and schizophrenia</t>
  </si>
  <si>
    <t>PMID: 35211743 - Efficacy and Safety of Roluperidone for the Treatment of Negative Symptoms of Schizophrenia</t>
  </si>
  <si>
    <t>PMID: 35235720 - Effects of Brexpiprazole on Functioning in Patients With Schizophrenia: Post Hoc Analysis of Short- and Long-Term Studies</t>
  </si>
  <si>
    <t>PMID: 35247794 - The Disease Recovery Evaluation and Modification (DREaM) study: Effectiveness of paliperidone palmitate versus oral antipsychotics in patients with recent-onset schizophrenia or schizophreniform disorder</t>
  </si>
  <si>
    <t>PMID: 35276079 - Amisulpride and olanzapine combination treatment versus each monotherapy in acutely ill patients with schizophrenia in Germany (COMBINE): a double-blind randomised controlled trial</t>
  </si>
  <si>
    <t>PMID: 35276716 - Efficacy and safety of lurasidone in schizophrenia: pooled analysis of European results from double-blind, placebo-controlled 6-week studies</t>
  </si>
  <si>
    <t>PMID: 35277995 - A phase 1 study to evaluate the safety, tolerability and pharmacokinetics of TAK-041 in healthy participants and patients with stable schizophrenia</t>
  </si>
  <si>
    <t>PMID: 35303462 - Community-based rehabilitation intervention for people with schizophrenia in Ethiopia (RISE): results of a 12-month cluster-randomised controlled trial</t>
  </si>
  <si>
    <t>PMID: 35343739 - Personal recovery in the postdischarge period for individuals with schizophrenia spectrum diagnoses: The role of community integration and social support</t>
  </si>
  <si>
    <t>PMID: 35421287 - Phase 3b Multicenter, Prospective, Open-label Trial to Evaluate the Effects of a Digital Medicine System on Inpatient Psychiatric Hospitalization Rates for Adults With Schizophrenia</t>
  </si>
  <si>
    <t>PMID: 35422467 - Validation of ketamine as a pharmacological model of thalamic dysconnectivity across the illness course of schizophrenia</t>
  </si>
  <si>
    <t>PMID: 35438649 - Residual Effect of Texting to Promote Medication Adherence for Villagers with Schizophrenia in China: 18-Month Follow-up Survey After the Randomized Controlled Trial Discontinuation</t>
  </si>
  <si>
    <t>PMID: 35443947 - Effectiveness and safety of blonanserin for improving social and cognitive functions in patients with first-episode schizophrenia: a study protocol for a prospective, multicentre, single-arm clinical trial</t>
  </si>
  <si>
    <t>PMID: 35467271 - Low-Dose Ziprasidone in Combination with Sertraline for First-Episode Drug-Naïve Patients with Schizophrenia: a Randomized Controlled Trial</t>
  </si>
  <si>
    <t>PMID: 35526293 - It is time to address language disorders in schizophrenia: A RCT on the efficacy of a novel training targeting the pragmatics of communication (PragmaCom)</t>
  </si>
  <si>
    <t>PMID: 35552528 - Antipsychotic Efficacy of KarXT (Xanomeline-Trospium): Post Hoc Analysis of Positive and Negative Syndrome Scale Categorical Response Rates, Time Course of Response, and Symptom Domains of Response in a Phase 2 Study</t>
  </si>
  <si>
    <t>PMID: 35569003 - Probiotics Plus Dietary Fiber Supplements Attenuate Olanzapine-Induced Weight Gain in Drug-Naïve First-Episode Schizophrenia Patients: Two Randomized Clinical Trials</t>
  </si>
  <si>
    <t>PMID: 35569503 - The EMPOWER blended digital intervention for relapse prevention in schizophrenia: a feasibility cluster randomised controlled trial in Scotland and Australia</t>
  </si>
  <si>
    <t>PMID: 35586878 - Feasibility, acceptability and evaluation of meditation to augment yoga practice among persons diagnosed with schizophrenia</t>
  </si>
  <si>
    <t>PMID: 35634965 - Relapse prevention through health technology program reduces hospitalization in schizophrenia</t>
  </si>
  <si>
    <t>PMID: 35636031 - Cognitive gains as a mechanism of functional capacity improvement in schizophrenia: Results from a multi-site randomized controlled trial</t>
  </si>
  <si>
    <t>PMID: 35639493 - Digital smartphone intervention to recognise and manage early warning signs in schizophrenia to prevent relapse: the EMPOWER feasibility cluster RCT</t>
  </si>
  <si>
    <t>PMID: 35686351 - Auditory stimulation in-phase with slow oscillations to enhance overnight memory consolidation in patients with schizophrenia?</t>
  </si>
  <si>
    <t>PMID: 35687858 - Efficacy of HP-3070, an Asenapine Transdermal System, on Symptoms of Hostility in Adults With Schizophrenia: A Post Hoc Analysis of a 6-Week Phase 3 Study</t>
  </si>
  <si>
    <t>PMID: 35701062 - Patients' acceptability and implementation outcomes of a case management approach to encourage participation in colorectal cancer screening for people with schizophrenia: a qualitative secondary analysis of a mixed-method randomised clinical trial</t>
  </si>
  <si>
    <t>PMID: 35704951 - A double-blind, randomized, placebo-controlled proof of concept study of the efficacy and safety of Lu AF11167 for persistent negative symptoms in people with schizophrenia</t>
  </si>
  <si>
    <t>PMID: 35715740 - Evidence-based Shared-Decision-Making Assistant (SDM-assistant) for choosing antipsychotics: protocol of a cluster-randomized trial in hospitalized patients with schizophrenia</t>
  </si>
  <si>
    <t>PMID: 35759349 - Effect of Intranasal Oxytocin on Resting-state Effective Connectivity in Schizophrenia</t>
  </si>
  <si>
    <t>PMID: 35759877 - Multimodal speech-gesture training in patients with schizophrenia spectrum disorder: Effects on quality of life and neural processing</t>
  </si>
  <si>
    <t>PMID: 35781191 - Effects of transcranial direct current stimulation on brain changes and relation to cognition in patients with schizophrenia: a fMRI study</t>
  </si>
  <si>
    <t>PMID: 35839558 - N-Acetylcysteine effects on glutathione and glutamate in schizophrenia: A preliminary MRS study</t>
  </si>
  <si>
    <t>PMID: 35857811 - Changing the Antipsychotic in Early Nonimprovers to Amisulpride or Olanzapine: Randomized, Double-Blind Trial in Patients With Schizophrenia</t>
  </si>
  <si>
    <t>PMID: 35921506 - Add-On Pramipexole for the Treatment of Schizophrenia and Schizoaffective Disorder: A Randomized Controlled Trial</t>
  </si>
  <si>
    <t>PMID: 35932309 - Clinical and psychosocial outcomes of Black Americans in the Recovery After an Initial Schizophrenia Episode Early Treatment Program (RAISE-ETP) study</t>
  </si>
  <si>
    <t>PMID: 35939920 - Virtual Reality Therapy for the Negative Symptoms of Schizophrenia (V-NeST): A pilot randomised feasibility trial</t>
  </si>
  <si>
    <t>PMID: 35939921 - Evaluation of major treatment failure in patients with recent-onset schizophrenia or schizophreniform disorder: A post hoc analysis from the Disease Recovery Evaluation and Modification (DREaM) study</t>
  </si>
  <si>
    <t>PMID: 35953474 - Quantitative electroencephalography parameters as neurophysiological biomarkers of schizophrenia-related deficits: A Phase II substudy of patients treated with iclepertin (BI 425809)</t>
  </si>
  <si>
    <t>PMID: 35971137 - Face Your Fears: Virtual reality-based cognitive behavioral therapy (VR-CBT) versus standard CBT for paranoid ideations in patients with schizophrenia spectrum disorders: a randomized clinical trial</t>
  </si>
  <si>
    <t>PMID: 36031616 - A randomized controlled trial of Goal Management Training for executive functioning in schizophrenia spectrum disorders or psychosis risk syndromes</t>
  </si>
  <si>
    <t>PMID: 36031632 - Impaired insight in schizophrenia: impact on patient-reported and physician-reported outcome measures in a randomized controlled trial</t>
  </si>
  <si>
    <t>PMID: 36037322 - Metacognitive Training to Improve Insight and Work Outcome in Schizophrenia</t>
  </si>
  <si>
    <t>PMID: 36047035 - Aerobic exercise enhances cognitive training effects in first-episode schizophrenia: randomized clinical trial demonstrates cognitive and functional gains</t>
  </si>
  <si>
    <t>PMID: 36085679 - Novel EEG-Based Neurofeedback System Targeting Frontal Gamma Activity of Schizophrenia Patients to Improve Working Memory</t>
  </si>
  <si>
    <t>PMID: 36115192 - Efficacy and safety of Lu AF35700 in treatment-resistant schizophrenia: A randomized, active-controlled trial with open-label extension</t>
  </si>
  <si>
    <t>PMID: 36122444 - No clinically relevant effects of 12 sessions of 2 mA of anodal transcranial Direct Current Stimulation over the left DLPFC in combination with concurrent cognitive training compared to cognitive training only on executive functions in patients with schizophrenia - A randomized controlled trial</t>
  </si>
  <si>
    <t>PMID: 36153555 - Structured implementation of digital, systematically updated guideline recommendations for enhanced adherence in schizophrenia (SISYPHOS)-protocol of a cluster-randomized trial</t>
  </si>
  <si>
    <t>PMID: 36154947 - Effectiveness of enhancing contact model on reducing family caregiving burden and improving psychological wellbeing among caregivers of persons with schizophrenia in rural China</t>
  </si>
  <si>
    <t>PMID: 36182772 - Effects of bilateral, bipolar-nonbalanced, frontal transcranial Direct Current Stimulation (tDCS) on negative symptoms and neurocognition in a sample of patients living with schizophrenia: Results of a randomized double-blind sham-controlled trial</t>
  </si>
  <si>
    <t>PMID: 36190440 - Pimavanserin Exposure-Response Analyses in Patients With Schizophrenia: Results From the Phase 2 ADVANCE Study</t>
  </si>
  <si>
    <t>PMID: 36231292 - Cost-Effectiveness of Positive Memory Training (PoMeT) for the Treatment of Depression in Schizophrenia</t>
  </si>
  <si>
    <t>PMID: 36347107 - Effect of individualized occupational therapy on social functioning in patients with schizophrenia: A five-year follow-up of a randomized controlled trial</t>
  </si>
  <si>
    <t>PMID: 36370124 - Hippocampal Subfield Volumes Predict Disengagement from Maintenance Treatment in First Episode Schizophrenia</t>
  </si>
  <si>
    <t>PMID: 36401749 - Effects of add-on Celecoxib treatment on patients with schizophrenia spectrum disorders and inflammatory cytokine profile trial (TargetFlame): study design and methodology of a multicentre randomized, placebo-controlled trial</t>
  </si>
  <si>
    <t>PMID: 36414626 - Effectiveness of KarXT (xanomeline-trospium) for cognitive impairment in schizophrenia: post hoc analyses from a randomised, double-blind, placebo-controlled phase 2 study</t>
  </si>
  <si>
    <t>PMID: 36424289 - Computerized cognitive and social cognition training in schizophrenia for impulsive aggression</t>
  </si>
  <si>
    <t>PMID: 36462184 - The factor structure of extrapyramidal symptoms evaluated using the Drug-Induced Extrapyramidal Symptoms Scale in patients with schizophrenia: Results from the 2016 REAP AP-4 study</t>
  </si>
  <si>
    <t>PMID: 36463724 - Evaluating the mechanisms of social cognition intervention in schizophrenia: A proof-of-concept trial</t>
  </si>
  <si>
    <t>PMID: 36468948 - Mindfulness-based intervention improves residual negative symptoms and cognitive impairment in schizophrenia: a randomized controlled follow-up study</t>
  </si>
  <si>
    <t>PMID: 36475415 - Effectiveness of an Uncertainty Management Psychoeducation Program for Schizophrenia Caregivers: A Randomized Controlled Trial</t>
  </si>
  <si>
    <t>PMID: 36541795 - It Is Hard to Be a Woman With Schizophrenia: Randomized Controlled Trial of a Brief Video Intervention to Reduce Public Stigma in Young Adults</t>
  </si>
  <si>
    <t>PMID: 36558548 - Nutritional Impact and Eating Pattern Changes in Schizophrenic Spectrum Disorders after Health Education Program on Symbiotic Dietary Modulation Offered by Specialised Psychiatric Nursing-Two-Arm Randomised Clinical Trial</t>
  </si>
  <si>
    <t>PMID: 36577235 - Treatment engagement in first-episode schizophrenia: Associations between intrinsic motivation and attendance during cognitive training and an aerobic exercise program</t>
  </si>
  <si>
    <t>PMID: 36660915 - An international multi-site, randomized controlled trial of a mindfulness-based psycho-education group program for people with schizophrenia - CORRIGENDUM</t>
  </si>
  <si>
    <t>PMID: 36691039 - Update to the study protocol Face Your Fears: Virtual reality-based cognitive behavioral therapy (VR-CBT) versus standard CBT for paranoid ideations in patients with schizophrenia spectrum disorders: a randomized clinical trial</t>
  </si>
  <si>
    <t>PMID: 36692909 - Real-world calibration and transportability of the Disease Recovery Evaluation and Modification (DREaM) randomized clinical trial in adult Medicaid beneficiaries with recent-onset schizophrenia</t>
  </si>
  <si>
    <t>PMID: 36716759 - Efficacy of oral versus long-acting antipsychotic treatment in patients with early-phase schizophrenia in Europe and Israel: a large-scale, open-label, randomised trial (EULAST)</t>
  </si>
  <si>
    <t>PMID: 36720576 - Effect of the GLP-1 receptor agonist semaglutide on metabolic disturbances in clozapine-treated or olanzapine-treated patients with a schizophrenia spectrum disorder: study protocol of a placebo-controlled, randomised clinical trial (SemaPsychiatry)</t>
  </si>
  <si>
    <t>PMID: 36797233 - Functional connectivity signatures of NMDAR dysfunction in schizophrenia-integrating findings from imaging genetics and pharmaco-fMRI</t>
  </si>
  <si>
    <t>PMID: 36803673 - A pilot randomized controlled trial comparing a novel compassion and metacognition approach for schizotypal personality disorder with a combination of cognitive therapy and psychopharmacological treatment</t>
  </si>
  <si>
    <t>PMID: 36804071 - Predicting psychotic relapse following randomised discontinuation of paliperidone in individuals with schizophrenia or schizoaffective disorder: an individual participant data analysis</t>
  </si>
  <si>
    <t>PMID: 36807126 - Shared decision making with schizophrenic patients: a randomized controlled clinical trial with booster sessions (DECIDE Study)</t>
  </si>
  <si>
    <t>PMID: 36856480 - Asenapine add-on treatment for schizophrenia adults who received antipsychotics: A 52-week, open-label study</t>
  </si>
  <si>
    <t>PMID: 36883881 - Lumateperone for the Treatment of Schizophrenia: Number Needed to Treat, Number Needed to Harm, and Likelihood to Be Helped or Harmed</t>
  </si>
  <si>
    <t>PMID: 36891649 - A Novel Psychosocial Intervention for Motivational Negative Symptoms in Schizophrenia: Combined Motivational Interviewing and CBT</t>
  </si>
  <si>
    <t>PMID: 36905498 - Patient and Healthcare Professional Preferences for Characteristics of Long-Acting Injectable Antipsychotic Agents for the Treatment of Schizophrenia</t>
  </si>
  <si>
    <t>PMID: 36927273 - An α7 nAChR approach for the baseline-dependent modulation of deviance detection in schizophrenia: A pilot study assessing the combined effect of CDP-choline and galantamine</t>
  </si>
  <si>
    <t>PMID: 36928351 - The D-amino acid oxidase inhibitor luvadaxistat improves mismatch negativity in patients with schizophrenia in a randomized trial</t>
  </si>
  <si>
    <t>PMID: 36933290 - Healthy choices, healthy changes: A randomized trial of incentives to promote healthy eating and exercise in people with schizophrenia and other serious mental illnesses</t>
  </si>
  <si>
    <t>PMID: 36946605 - Olanzapine/Samidorphan in Young Adults With Schizophrenia, Schizophreniform Disorder, or Bipolar I Disorder Who Are Early in Their Illness: Results of the Randomized, Controlled ENLIGHTEN-Early Study</t>
  </si>
  <si>
    <t>PMID: 36958998 - Dose-Dependent Augmentation of Neuroplasticity-Based Auditory Learning in Schizophrenia: A Double-Blind, Placebo-Controlled, Randomized, Target Engagement Clinical Trial of the NMDA Glutamate Receptor Agonist d-serine</t>
  </si>
  <si>
    <t>PMID: 36965364 - Analyzing structural and functional brain changes related to an integrative cognitive remediation program for schizophrenia: A randomized controlled trial</t>
  </si>
  <si>
    <t>PMID: 36988483 - Generalizability of the Results of Efficacy Trials in First-Episode Schizophrenia: Comparing Outcome and Study Discontinuation of Groups of Participants in the Optimization of Treatment and Management of Schizophrenia in Europe (OPTiMiSE) Trial</t>
  </si>
  <si>
    <t>PMID: 37004331 - Effect of treatment with paliperidone palmitate versus oral antipsychotics on frontal lobe intracortical myelin volume in participants with recent-onset schizophrenia: Magnetic resonance imaging results from the DREaM study</t>
  </si>
  <si>
    <t>PMID: 37010371 - Brain Structure Measurements Predict Individualized Treatment Outcome of 12-Week Antipsychotic Monotherapies in First-episode Schizophrenia</t>
  </si>
  <si>
    <t>PMID: 37012184 - Effect of a group-based acceptance and commitment therapy (ACT) intervention on self-esteem and psychological flexibility in patients with schizophrenia in remission</t>
  </si>
  <si>
    <t>PMID: 37019033 - Prospective, randomized, multicenter clinical trial evaluating longitudinal changes in brain function and microstructure in first-episode schizophrenia patients treated with long-acting injectable paliperidone palmitate versus oral antipsychotics</t>
  </si>
  <si>
    <t>PMID: 37028258 - Effect of HD-tDCS on white matter integrity and associated cognitive function in chronic schizophrenia: A double-blind, sham-controlled randomized trial</t>
  </si>
  <si>
    <t>PMID: 37036495 - Evidence of trospium's ability to mitigate cholinergic adverse events related to xanomeline: phase 1 study results</t>
  </si>
  <si>
    <t>PMID: 37118058 - Tryptophan challenge in individuals with schizophrenia and healthy controls: acute effects on circulating kynurenine and kynurenic acid, cognition and cerebral blood flow</t>
  </si>
  <si>
    <t>PMID: 37141764 - Randomized controlled trial of the glycine transporter 1 inhibitor PF-03463275 to enhance cognitive training and neuroplasticity in schizophrenia</t>
  </si>
  <si>
    <t>PMID: 37232002 - Long-term safety and efficacy of sublingual asenapine for the treatment of schizophrenia: A phase III extension study with follow-up for 52weeks (P06125)-Secondary publication</t>
  </si>
  <si>
    <t>PMID: 37267670 - Predictors of treatment discontinuation during an 18-month multi-site randomized trial of Cognitive Enhancement Therapy for early course schizophrenia</t>
  </si>
  <si>
    <t>PMID: 37349110 - Phase 2 Results Indicate Evenamide, A Selective Modulator of Glutamate Release, Is Associated With Clinically Important Long-Term Efficacy When Added to an Antipsychotic in Patients With Treatment-Resistant Schizophrenia</t>
  </si>
  <si>
    <t>PMID: 37386572 - Impact of Watson's human caring-based health promotion program on caregivers of individuals with schizophrenia</t>
  </si>
  <si>
    <t>PMID: 37442999 - Hopefulness among individuals living with schizophrenia and their caregivers in Tanzania: an actor-partner interdependence model</t>
  </si>
  <si>
    <t>PMID: 37466276 - Pentoxifylline as adjunctive therapy in cognitive deficits and symptoms of schizophrenia: A randomized double-blind placebo-controlled clinical trial</t>
  </si>
  <si>
    <t>PMID: 37494877 - Cortical thickness, gray-white matter contrast, and intracortical myelin in first-episode schizophrenia patients treated with long-acting paliperidone palmitate versus oral antipsychotics</t>
  </si>
  <si>
    <t>PMID: 37506738 - Effects of Early Clozapine Treatment on Remission Rates in Acute Schizophrenia (The EARLY Trial): Protocol of a Randomized-Controlled Multicentric Trial</t>
  </si>
  <si>
    <t>PMID: 37532985 - Decrease in cognitive performance and increase of the neutrophil-to-lymphocyte and platelet-to-lymphocyte ratios with higher doses of antipsychotics in women with schizophrenia: a cross-sectional study</t>
  </si>
  <si>
    <t>PMID: 37597507 - Effects of Exercise on Structural and Functional Brain Patterns in Schizophrenia-Data From a Multicenter Randomized-Controlled Study</t>
  </si>
  <si>
    <t>PMID: 37625246 - As We Were and as We Should Be, Combined Exercise Training in Adults with Schizophrenia: CORTEX-SP Study Part I</t>
  </si>
  <si>
    <t>PMID: 37647498 - The effect of vortioxetine on anhedonia in patients with schizophrenia</t>
  </si>
  <si>
    <t>PMID: 37653768 - Efficacy and safety of paliperidone palmitate 6-monthly long-acting injectable in reduction of relapses in patients with schizophrenia: An Asian subgroup analysis of phase 3, randomized study</t>
  </si>
  <si>
    <t>PMID: 37670161 - Effect of an adapted physical activity program on stress, anxiety, depression in patients with schizophrenia: study protocol of a randomized-controlled trial</t>
  </si>
  <si>
    <t>PMID: 37690312 - Augmentation of learning in schizophrenia by d-serine and auditory remediation is related to auditory and frontally-generated biomarkers: A randomized, double-blind, placebo-controlled study</t>
  </si>
  <si>
    <t>PMID: 37696635 - Randomised controlled trial on the effect of video-conference cognitive behavioural therapy for patients with schizophrenia: a study protocol</t>
  </si>
  <si>
    <t>PMID: 37716320 - Exercise as an add-on treatment in individuals with schizophrenia: Results from a large multicenter randomized controlled trial</t>
  </si>
  <si>
    <t>PMID: 37732853 - Stimulating learning: A functional MRI and behavioral investigation of the effects of transcranial direct current stimulation on stochastic learning in schizophrenia</t>
  </si>
  <si>
    <t>PMID: 37778356 - Antipsychotic dose reduction and discontinuation versus maintenance treatment in people with schizophrenia and other recurrent psychotic disorders in England (the RADAR trial): an open, parallel-group, randomised controlled trial</t>
  </si>
  <si>
    <t>PMID: 37833590 - Modulation of hippocampal activity in schizophrenia with levetiracetam: a randomized, double-blind, cross-over, placebo-controlled trial</t>
  </si>
  <si>
    <t>PMID: 37857138 - Lifestyle intervention based on exercise and behavioural counselling and its effect on physical and psychological health in outpatients with schizophrenia spectrum disorders. An exploratory, pragmatic randomized clinical trial</t>
  </si>
  <si>
    <t>PMID: 37903861 - A double-blind, randomized controlled study of the effects of celecoxib on clinical symptoms and cognitive impairment in patients with drug-naïve first episode schizophrenia: pharmacogenetic impact of cyclooxygenase-2 functional polymorphisms</t>
  </si>
  <si>
    <t>PMID: 37924833 - Efficacy and safety of TV-46000, a long-acting, subcutaneous, injectable formulation of risperidone, for schizophrenia: a randomised clinical trial in the USA and Bulgaria</t>
  </si>
  <si>
    <t>PMID: 37962384 - Consent for Research Involving Spanish- and English-Speaking Latinx Adults With Schizophrenia</t>
  </si>
  <si>
    <t>PMID: 38053478 - Effects of bilateral repetitive transcranial magnetic stimulation on prospective memory in patients with schizophrenia: A double-blind randomized controlled clinical trial</t>
  </si>
  <si>
    <t>PMID: 38084398 - Transcranial direct-current stimulation of the prefrontal cortex enhances working memory and suppresses pathological gamma power elevation in schizophrenia</t>
  </si>
  <si>
    <t>PMID: 38151432 - Randomized, double-blind, sham-controlled trial to evaluate the efficacy and tolerability of electroconvulsive therapy in patients with clozapine-resistant schizophrenia</t>
  </si>
  <si>
    <t>PMID: 38157711 - Mechanistic account of the left auditory cortex for tone-matching in schizophrenia: A pilot transcranial random noise stimulation (tRNS) sham-controlled study</t>
  </si>
  <si>
    <t>PMID: 38166946 - Let's Talk About Children' family focused practice for children of parents with schizophrenia and bipolar disorder: protocol for a randomized controlled trial</t>
  </si>
  <si>
    <t>PMID: 38199388 - Improving depressive symptoms in patients with schizophrenia using bilateral bipolar-nonbalanced prefrontal tDCS: Results from a double-blind sham-controlled trial</t>
  </si>
  <si>
    <t>PMID: 38218952 - Baseline symptom-related white matter tracts predict individualized treatment response to 12-week antipsychotic monotherapies in first-episode schizophrenia</t>
  </si>
  <si>
    <t>PMID: 38237358 - Ethics in placebo-controlled, acute treatment trials in schizophrenia: Two rival ethical frameworks</t>
  </si>
  <si>
    <t>PMID: 38253334 - A multicenter, single-arm, open-label interventional study of adherence to brexpiprazole during switching from previous antipsychotic drugs in patients with schizophrenia or schizoaffective disorder</t>
  </si>
  <si>
    <t>PMID: 38262165 - The effect of intranasal oxytocin on neurocognition in people with schizophrenia: A randomized controlled trial</t>
  </si>
  <si>
    <t>PMID: 38301186 - Effect of Lurasidone on Social Functioning in Schizophrenia: Post Hoc Analysis of the JEWEL Study</t>
  </si>
  <si>
    <t>PMID: 38309212 - The combination of oxytocin and mindfulness-based group therapy for empathy and negative symptoms in schizophrenia spectrum disorders - A double-blinded, randomized, placebo-controlled pilot study</t>
  </si>
  <si>
    <t>PMID: 38355533 - CLEAR - clozapine in early psychosis: study protocol for a multi-centre, randomised controlled trial of clozapine vs other antipsychotics for young people with treatment resistant schizophrenia in real world settings</t>
  </si>
  <si>
    <t>PMID: 38372704 - It's Tough to Be a Black Man with Schizophrenia: Randomized Controlled Trial of a Brief Video Intervention to Reduce Public Stigma</t>
  </si>
  <si>
    <t>PMID: 38387253 - Trajectories and predictors of response to social cognition training in people with schizophrenia: A proof-of-concept machine learning study</t>
  </si>
  <si>
    <t>PMID: 38388986 - An Open-Label Study to Assess Monthly Risperidone Injections (180 mg) Following Switch from Daily Oral Risperidone (6 mg) in Stable Schizophrenic Patients</t>
  </si>
  <si>
    <t>PMID: 38416865 - Safety and Tolerability of Starting Aripiprazole Lauroxil With Aripiprazole Lauroxil NanoCrystal Dispersion in 1 Day Followed by Aripiprazole Lauroxil Every 2 Months Using Paliperidone Palmitate Monthly as an Active Control in Patients With Schizophrenia: A Post Hoc Analysis of a Randomized Controlled Trial</t>
  </si>
  <si>
    <t>PMID: 38421921 - Efficacy and Safety of Valbenazine in Japanese Patients With Tardive Dyskinesia and Schizophrenia/Schizoaffective Disorder or Bipolar Disorder/Depressive Disorder: Primary Results and Post Hoc Analyses of the J-KINECT Study</t>
  </si>
  <si>
    <t>PMID: 38453003 - Combining neuroimaging and brain stimulation to test alternative causal pathways for nicotine addiction in schizophrenia</t>
  </si>
  <si>
    <t>PMID: 38493362 - Assessing the impact of sex on high-frequency repetitive transcranial magnetic stimulation´s clinical response in schizophrenia - results from a secondary analysis</t>
  </si>
  <si>
    <t>PMID: 38527949 - Evaluation of OCT2-mediated drug-drug interactions between ulotaront and metformin in subjects with schizophrenia</t>
  </si>
  <si>
    <t>PMID: 38533552 - TAAR1 agonist ulotaront delays gastric emptying of solids in patients with schizophrenia and concurrent metabolic syndrome with prediabetes</t>
  </si>
  <si>
    <t>PMID: 38537483 - Changes in BDNF methylation patterns after cognitive remediation therapy in schizophrenia: A randomized and controlled trial</t>
  </si>
  <si>
    <t>PMID: 38547601 - Ketogenic Diet Intervention on Metabolic and Psychiatric Health in Bipolar and Schizophrenia: A Pilot Trial</t>
  </si>
  <si>
    <t>PMID: 38566884 - Efficacy of HP-3070, A Once-Daily Asenapine Transdermal System, in the Treatment of Adults with Schizophrenia: A PANSS Five-Factor Analysis</t>
  </si>
  <si>
    <t>PMID: 38644296 - Impacts of a Self-directed Social Resources Study Program on Negative Symptoms and Quality of Life in Schizophrenia Outpatients: A Randomized Controlled Trial</t>
  </si>
  <si>
    <t>PMID: 38664377 - Multimodal workflows optimally predict response to repetitive transcranial magnetic stimulation in patients with schizophrenia: a multisite machine learning analysis</t>
  </si>
  <si>
    <t>PMID: 38713452 - Sex Differences Between Female and Male Individuals in Antipsychotic Efficacy and Adverse Effects in the Treatment of Schizophrenia</t>
  </si>
  <si>
    <t>PMID: 38718691 - Effect of individualized occupational therapy on cognition among patients with schizophrenia: A randomized controlled trial</t>
  </si>
  <si>
    <t>PMID: 38749320 - Pilot study indicates that a gluten-free diet lowers oxidative stress for gluten-sensitive persons with schizophrenia</t>
  </si>
  <si>
    <t>PMID: 38750386 - Model-Informed Clinical Development of Once-Every-6-Month Injection of Paliperidone Palmitate in Patients with Schizophrenia: A Pharmacometric Bridging Approach (Part I)</t>
  </si>
  <si>
    <t>PMID: 38769284 - Model-Informed Clinical Development of 6-Monthly Injection of Paliperidone Palmitate in Patients with Schizophrenia: Dosing Strategies Guided by Population Pharmacokinetic Modeling and Simulation (Part II)</t>
  </si>
  <si>
    <t>PMID: 38806461 - Videogame training increases clinical well-being, attention and hippocampal-prefrontal functional connectivity in patients with schizophrenia</t>
  </si>
  <si>
    <t>PMID: 38877468 - Effects of brief family psychoeducation on family caregiver burden of people with schizophrenia provided by psychiatric visiting nurses: a cluster randomised controlled trial</t>
  </si>
  <si>
    <t>PMID: 38954317 - A Long-Term Safety and Tolerability Study of TV-46000 for Subcutaneous Use in Patients with Schizophrenia: A Phase 3, Randomized, Double-Blinded Clinical Trial</t>
  </si>
  <si>
    <t>PMID: 39018073 - Three-Year Outcomes of 6-Month Paliperidone Palmitate in Adults With Schizophrenia: An Open-Label Extension Study of a Randomized Clinical Trial</t>
  </si>
  <si>
    <t>PMID: 39034077 - The effects of life review-based collage book making on psychosocial functioning and discrepancy between patients' and hospital staff's perception of daily functioning in long-term hospitalized patients with schizophrenia: A randomized controlled trial</t>
  </si>
  <si>
    <t>PMID: 39054763 - As We Were and As We Should Be, Combined Exercise Training in Adults With Schizophrenia: CORTEX-SP Study Part II</t>
  </si>
  <si>
    <t>PMID: 39075458 - The impact of a digital guideline version on schizophrenia guideline knowledge: results from a multicenter cluster-randomized controlled trial</t>
  </si>
  <si>
    <t>UMIN000037282 - Dose Reduction of Long-Acting Injectable Second-Generation Antipsychotics in Stable Schizophrenia: A Multicenter, Double-Blind, Randomized Controlled Trial</t>
  </si>
  <si>
    <t>UMIN000037709 - The offect of Aromatherapy massage for the patients with Schizophrenia</t>
  </si>
  <si>
    <t>UMIN000037946 - Impact of switching to single dosing regimen of antipsychotics on medication adherence in schizophrenia: A randomized controlled trial</t>
  </si>
  <si>
    <t>UMIN000039356 - AMPA PET study in patients with schizophrenia</t>
  </si>
  <si>
    <t>UMIN000039521 - Cognitive training for schizophrenia: a randomized controlled trial</t>
  </si>
  <si>
    <t>UMIN000041120 - Improvement of psychiatric symptoms and social function of aripiprazole long acting injection for outpatient schizophrenia</t>
  </si>
  <si>
    <t>UMIN000041293 - A study of the effects of perceptual training in schizophrenia</t>
  </si>
  <si>
    <t>UMIN000042532 - Individualized occupational therapy for schizophrenia</t>
  </si>
  <si>
    <t>UMIN000042756 - Japanese Chess for patients with schizophrenia as cognitive training: a before-after study.</t>
  </si>
  <si>
    <t>UMIN000043194 - Neurofeedback study for the self-regulation of neural activities in patients with Schizophrenia</t>
  </si>
  <si>
    <t>UMIN000043345 - Development and validation of a clinical prediction model for psychotic relapse within 12 months after discharge in people with schizophrenia</t>
  </si>
  <si>
    <t>UMIN000044026 - Autistic traits and social cognition in patients with schizophrenia</t>
  </si>
  <si>
    <t>UMIN000045075 - A Study on the factors associated with continuing treatment with brexpiprazole in patients with schizophrenia using MENTAT</t>
  </si>
  <si>
    <t>UMIN000045175 - A study exploring new biomarkers by measuring the rest-activity rhythms of patients with schizophrenia and mood disorders</t>
  </si>
  <si>
    <t>UMIN000045178 - Evaluation of Nursing Intervention Model for Schizophrenia Patients with Lifestyle-related Diseases</t>
  </si>
  <si>
    <t>UMIN000047226 - Construction and inflection of a Nursing Practice Model to Help Persons with Schizophrenia Achieve Work-life Harmony</t>
  </si>
  <si>
    <t>UMIN000047405 - Factors associated with treatment delay in patients with depression and schizophrenia: A mixed methods study comparing Austria and Japan</t>
  </si>
  <si>
    <t>UMIN000048666 - Flexibility of thought in schizophrenia: a cross-sectional study</t>
  </si>
  <si>
    <t>UMIN000050711 - The relationship between depression and work productivity in the patients with schizophrenia: an observational study</t>
  </si>
  <si>
    <t>UMIN000050885 - Intervention study on the combined effect of cognitive remediation therapy and exercise therapy for schizophrenia patients</t>
  </si>
  <si>
    <t>UMIN000050904 - Survey for recognition of schizophrenia</t>
  </si>
  <si>
    <t>UMIN000051193 - Aripiprazole dose reduction in stable schizophrenia</t>
  </si>
  <si>
    <t>UMIN000051974 - Correlation of salivary and blood adiponectin levels in patients with schizophrenia and healthy volunteers</t>
  </si>
  <si>
    <t>UMIN000053763 - Association between light exposure and Schizophrenia</t>
  </si>
  <si>
    <t>UMIN000054290 - Research on the relationship between behavioral characteristics and clinical evaluation in schizophrenia patients</t>
  </si>
  <si>
    <t>EudraCT Number: 2020-006062-36 - A Phase II/III, prospective, multi-center, randomized, 4-week, double-blind, placebo-controlled study, designed to determine the safety, tolerability, EEG effects and efficacy of oral doses of 30 mg bid of evenamide (NW-3509) in patients with chronic schizophrenia who are symptomatic on their current second-generation antipsychotic (aripiprazole, clozapine, quetiapine, olanzapine, paliperidone, or risperidone) medication</t>
  </si>
  <si>
    <t>EudraCT Number: 2021-000350-26 - A double blind, randomized, placebo-controlled, adaptive 24-week Phase IIb trial to evaluate the efficacy of vafidemstat in negative symptoms and cognitive impairment associated with schizophrenia. (EVOLUTION study)</t>
  </si>
  <si>
    <t>EudraCT Number: 2019-003343-29 - A Phase 3, Randomized, Double-Blind, Placebo-Controlled Study to Evaluate the Efficacy and Safety of Pimavanserin as Adjunctive Treatment for the Negative Symptoms of Schizophrenia (ADVANCE 2)</t>
  </si>
  <si>
    <t>EudraCT Number: 2021-001278-44 - Comparative analysis of the effectiveness of clozapine in resistant schizophrenia and schizoafective disorder.</t>
  </si>
  <si>
    <t>DRKS00017055</t>
  </si>
  <si>
    <t>DRKS00017577</t>
  </si>
  <si>
    <t>DRKS00018083</t>
  </si>
  <si>
    <t>DRKS00019079</t>
  </si>
  <si>
    <t>DRKS00019825</t>
  </si>
  <si>
    <t>DRKS00020476</t>
  </si>
  <si>
    <t>DRKS00022190</t>
  </si>
  <si>
    <t>DRKS00022214</t>
  </si>
  <si>
    <t>DRKS00022351</t>
  </si>
  <si>
    <t>DRKS00023143</t>
  </si>
  <si>
    <t>DRKS00023907</t>
  </si>
  <si>
    <t>DRKS00024178</t>
  </si>
  <si>
    <t>DRKS00024978</t>
  </si>
  <si>
    <t>DRKS00025885</t>
  </si>
  <si>
    <t>DRKS00025907</t>
  </si>
  <si>
    <t>DRKS00026118</t>
  </si>
  <si>
    <t>DRKS00026231</t>
  </si>
  <si>
    <t>DRKS00027002</t>
  </si>
  <si>
    <t>DRKS00027316</t>
  </si>
  <si>
    <t>DRKS00028050</t>
  </si>
  <si>
    <t>DRKS00028895</t>
  </si>
  <si>
    <t>DRKS00029044</t>
  </si>
  <si>
    <t>DRKS00030631</t>
  </si>
  <si>
    <t>DRKS00031680</t>
  </si>
  <si>
    <t>DRKS00032316</t>
  </si>
  <si>
    <t>DRKS00034230</t>
  </si>
  <si>
    <t>DRKS00034544</t>
  </si>
  <si>
    <t>ISRCTN11998005</t>
  </si>
  <si>
    <t>ISRCTN18419418</t>
  </si>
  <si>
    <t>ISRCTN21141466</t>
  </si>
  <si>
    <t>ISRCTN35980117</t>
  </si>
  <si>
    <t>ISRCTN49498363</t>
  </si>
  <si>
    <t>ISRCTN55682735</t>
  </si>
  <si>
    <t>ISRCTN56047723</t>
  </si>
  <si>
    <t>ISRCTN77257074</t>
  </si>
  <si>
    <t>ISRCTN81150786</t>
  </si>
  <si>
    <t>ISRCTN93382525</t>
  </si>
  <si>
    <t>jRCT1020210045</t>
  </si>
  <si>
    <t>jRCT1030210514</t>
  </si>
  <si>
    <t>jRCT1030210661</t>
  </si>
  <si>
    <t>jRCT1030220303</t>
  </si>
  <si>
    <t>jRCT1030220320</t>
  </si>
  <si>
    <t>jRCT1030240216</t>
  </si>
  <si>
    <t>jRCT1032230108</t>
  </si>
  <si>
    <t>jRCT1041210028</t>
  </si>
  <si>
    <t>jRCT1050210142</t>
  </si>
  <si>
    <t>jRCT1050220083</t>
  </si>
  <si>
    <t>jRCT1060220026</t>
  </si>
  <si>
    <t>jRCT1060240011</t>
  </si>
  <si>
    <t>jRCT1080225178</t>
  </si>
  <si>
    <t>jRCT2011210024</t>
  </si>
  <si>
    <t>jRCT2031200287</t>
  </si>
  <si>
    <t>jRCT2031200288</t>
  </si>
  <si>
    <t>jRCT2031210241</t>
  </si>
  <si>
    <t>jRCT2031210251</t>
  </si>
  <si>
    <t>jRCT2061210051</t>
  </si>
  <si>
    <t>jRCT2061220034</t>
  </si>
  <si>
    <t>jRCT2071210003</t>
  </si>
  <si>
    <t>jRCT2071210040</t>
  </si>
  <si>
    <t>jRCTs031190197</t>
  </si>
  <si>
    <t>jRCTs031200050</t>
  </si>
  <si>
    <t>jRCTs031200258</t>
  </si>
  <si>
    <t>jRCTs031200338</t>
  </si>
  <si>
    <t>jRCTs032190089</t>
  </si>
  <si>
    <t>jRCTs032190244</t>
  </si>
  <si>
    <t>jRCTs032200028</t>
  </si>
  <si>
    <t>jRCTs032210059</t>
  </si>
  <si>
    <t>jRCTs032210197</t>
  </si>
  <si>
    <t>jRCTs032220691</t>
  </si>
  <si>
    <t>jRCTs041210019</t>
  </si>
  <si>
    <t>jRCTs052230030</t>
  </si>
  <si>
    <t>NCT00916201</t>
  </si>
  <si>
    <t>NCT02361554</t>
  </si>
  <si>
    <t>NCT02670447</t>
  </si>
  <si>
    <t>NCT03575000</t>
  </si>
  <si>
    <t>NCT03708315</t>
  </si>
  <si>
    <t>NCT03807388</t>
  </si>
  <si>
    <t>NCT03818256</t>
  </si>
  <si>
    <t>NCT03818516</t>
  </si>
  <si>
    <t>NCT03900754</t>
  </si>
  <si>
    <t>NCT03911726</t>
  </si>
  <si>
    <t>NCT03919760</t>
  </si>
  <si>
    <t>NCT03943537</t>
  </si>
  <si>
    <t>NCT03953664</t>
  </si>
  <si>
    <t>NCT03959735</t>
  </si>
  <si>
    <t>NCT03971487</t>
  </si>
  <si>
    <t>NCT03972735</t>
  </si>
  <si>
    <t>NCT03975400</t>
  </si>
  <si>
    <t>NCT03995368</t>
  </si>
  <si>
    <t>NCT03995420</t>
  </si>
  <si>
    <t>NCT03999112</t>
  </si>
  <si>
    <t>NCT04001114</t>
  </si>
  <si>
    <t>NCT04004364</t>
  </si>
  <si>
    <t>NCT04004416</t>
  </si>
  <si>
    <t>NCT04005794</t>
  </si>
  <si>
    <t>NCT04011280</t>
  </si>
  <si>
    <t>NCT04013555</t>
  </si>
  <si>
    <t>NCT04024371</t>
  </si>
  <si>
    <t>NCT04025502</t>
  </si>
  <si>
    <t>NCT04025905</t>
  </si>
  <si>
    <t>NCT04030143</t>
  </si>
  <si>
    <t>NCT04033679</t>
  </si>
  <si>
    <t>NCT04033978</t>
  </si>
  <si>
    <t>NCT04038840</t>
  </si>
  <si>
    <t>NCT04038957</t>
  </si>
  <si>
    <t>NCT04046497</t>
  </si>
  <si>
    <t>NCT04054973</t>
  </si>
  <si>
    <t>NCT04068467</t>
  </si>
  <si>
    <t>NCT04068857</t>
  </si>
  <si>
    <t>NCT04072354</t>
  </si>
  <si>
    <t>NCT04072575</t>
  </si>
  <si>
    <t>NCT04106960</t>
  </si>
  <si>
    <t>NCT04109950</t>
  </si>
  <si>
    <t>NCT04115319</t>
  </si>
  <si>
    <t>NCT04118127</t>
  </si>
  <si>
    <t>NCT04118283</t>
  </si>
  <si>
    <t>NCT04123223</t>
  </si>
  <si>
    <t>NCT04124744</t>
  </si>
  <si>
    <t>NCT04127058</t>
  </si>
  <si>
    <t>NCT04134871</t>
  </si>
  <si>
    <t>NCT04136873</t>
  </si>
  <si>
    <t>NCT04141540</t>
  </si>
  <si>
    <t>NCT04143126</t>
  </si>
  <si>
    <t>NCT04147897</t>
  </si>
  <si>
    <t>NCT04158687</t>
  </si>
  <si>
    <t>NCT04159662</t>
  </si>
  <si>
    <t>NCT04173572</t>
  </si>
  <si>
    <t>NCT04173598</t>
  </si>
  <si>
    <t>NCT04182113</t>
  </si>
  <si>
    <t>NCT04187560</t>
  </si>
  <si>
    <t>NCT04191200</t>
  </si>
  <si>
    <t>NCT04191876</t>
  </si>
  <si>
    <t>NCT04203056</t>
  </si>
  <si>
    <t>NCT04210557</t>
  </si>
  <si>
    <t>NCT04221269</t>
  </si>
  <si>
    <t>NCT04226898</t>
  </si>
  <si>
    <t>NCT04237155</t>
  </si>
  <si>
    <t>NCT04248517</t>
  </si>
  <si>
    <t>NCT04267003</t>
  </si>
  <si>
    <t>NCT04268303</t>
  </si>
  <si>
    <t>Schizophrenia; Psychosis</t>
  </si>
  <si>
    <t>NCT04277936</t>
  </si>
  <si>
    <t>NCT04278339</t>
  </si>
  <si>
    <t>NCT04280367</t>
  </si>
  <si>
    <t>NCT04294719</t>
  </si>
  <si>
    <t>NCT04300946</t>
  </si>
  <si>
    <t>NCT04306146</t>
  </si>
  <si>
    <t>NCT04309370</t>
  </si>
  <si>
    <t>NCT04309435</t>
  </si>
  <si>
    <t>NCT04312503</t>
  </si>
  <si>
    <t>NCT04318977</t>
  </si>
  <si>
    <t>NCT04321759</t>
  </si>
  <si>
    <t>NCT04324944</t>
  </si>
  <si>
    <t>Schizophrenia Schizoaffective</t>
  </si>
  <si>
    <t>NCT04325386</t>
  </si>
  <si>
    <t>NCT04325737</t>
  </si>
  <si>
    <t>NCT04338152</t>
  </si>
  <si>
    <t>NCT04366401</t>
  </si>
  <si>
    <t>NCT04368039</t>
  </si>
  <si>
    <t>NCT04370730</t>
  </si>
  <si>
    <t>NCT04395157</t>
  </si>
  <si>
    <t>NCT04399096</t>
  </si>
  <si>
    <t>NCT04414215</t>
  </si>
  <si>
    <t>NCT04414930</t>
  </si>
  <si>
    <t>NCT04418011</t>
  </si>
  <si>
    <t>NCT04418466</t>
  </si>
  <si>
    <t>NCT04421456</t>
  </si>
  <si>
    <t>NCT04436757</t>
  </si>
  <si>
    <t>NCT04452175</t>
  </si>
  <si>
    <t>Early Course Schizophrenia Spectrum Disorder</t>
  </si>
  <si>
    <t>NCT04457310</t>
  </si>
  <si>
    <t>NCT04461119</t>
  </si>
  <si>
    <t>NCT04478838</t>
  </si>
  <si>
    <t>NCT04481217</t>
  </si>
  <si>
    <t>NCT04497857</t>
  </si>
  <si>
    <t>NCT04506905</t>
  </si>
  <si>
    <t>NCT04510298</t>
  </si>
  <si>
    <t>NCT04512066</t>
  </si>
  <si>
    <t>NCT04524403</t>
  </si>
  <si>
    <t>NCT04526067</t>
  </si>
  <si>
    <t>NCT04531982</t>
  </si>
  <si>
    <t>NCT04554121</t>
  </si>
  <si>
    <t>NCT04559529</t>
  </si>
  <si>
    <t>NCT04567524</t>
  </si>
  <si>
    <t>Schizophrenia Patients</t>
  </si>
  <si>
    <t>NCT04572685</t>
  </si>
  <si>
    <t>NCT04578314</t>
  </si>
  <si>
    <t>NCT04578756</t>
  </si>
  <si>
    <t>NCT04580134</t>
  </si>
  <si>
    <t>NCT04588129</t>
  </si>
  <si>
    <t>NCT04590300</t>
  </si>
  <si>
    <t>NCT04602741</t>
  </si>
  <si>
    <t>NCT04608032</t>
  </si>
  <si>
    <t>NCT04610697</t>
  </si>
  <si>
    <t>NCT04624243</t>
  </si>
  <si>
    <t>NCT04631939</t>
  </si>
  <si>
    <t>NCT04655235</t>
  </si>
  <si>
    <t>NCT04659161</t>
  </si>
  <si>
    <t>NCT04659174</t>
  </si>
  <si>
    <t>NCT04673851</t>
  </si>
  <si>
    <t>NCT04681807</t>
  </si>
  <si>
    <t>NCT04689867</t>
  </si>
  <si>
    <t>NCT04709224</t>
  </si>
  <si>
    <t>NCT04712734</t>
  </si>
  <si>
    <t>NCT04730518</t>
  </si>
  <si>
    <t>NCT04748679</t>
  </si>
  <si>
    <t>NCT04752449</t>
  </si>
  <si>
    <t>NCT04756388</t>
  </si>
  <si>
    <t>NCT04763655</t>
  </si>
  <si>
    <t>NCT04768335</t>
  </si>
  <si>
    <t>NCT04779177</t>
  </si>
  <si>
    <t>NCT04781179</t>
  </si>
  <si>
    <t>NCT04783246</t>
  </si>
  <si>
    <t>NCT04783571</t>
  </si>
  <si>
    <t>NCT04787302</t>
  </si>
  <si>
    <t>NCT04799717</t>
  </si>
  <si>
    <t>NCT04807530</t>
  </si>
  <si>
    <t>NCT04820309</t>
  </si>
  <si>
    <t>NCT04822883</t>
  </si>
  <si>
    <t>NCT04825860</t>
  </si>
  <si>
    <t>NCT04846868</t>
  </si>
  <si>
    <t>NCT04846881</t>
  </si>
  <si>
    <t>NCT04856657</t>
  </si>
  <si>
    <t>NCT04857983</t>
  </si>
  <si>
    <t>NCT04860830</t>
  </si>
  <si>
    <t>NCT04865835</t>
  </si>
  <si>
    <t>NCT04867681</t>
  </si>
  <si>
    <t>NCT04870710</t>
  </si>
  <si>
    <t>NCT04874974</t>
  </si>
  <si>
    <t>NCT04887792</t>
  </si>
  <si>
    <t>NCT04895488</t>
  </si>
  <si>
    <t>NCT04907279</t>
  </si>
  <si>
    <t>NCT04911010</t>
  </si>
  <si>
    <t>NCT04922593</t>
  </si>
  <si>
    <t>NCT04940663</t>
  </si>
  <si>
    <t>NCT04946916</t>
  </si>
  <si>
    <t>NCT04951700</t>
  </si>
  <si>
    <t>NCT04959032</t>
  </si>
  <si>
    <t>NCT04968223</t>
  </si>
  <si>
    <t>NCT04972227</t>
  </si>
  <si>
    <t>NCT04985786</t>
  </si>
  <si>
    <t>NCT04986072</t>
  </si>
  <si>
    <t>NCT04987151</t>
  </si>
  <si>
    <t>NCT04987229</t>
  </si>
  <si>
    <t>NCT05017532</t>
  </si>
  <si>
    <t>NCT05023252</t>
  </si>
  <si>
    <t>NCT05025605</t>
  </si>
  <si>
    <t>NCT05030272</t>
  </si>
  <si>
    <t>NCT05032963</t>
  </si>
  <si>
    <t>NCT05036590</t>
  </si>
  <si>
    <t>NCT05046353</t>
  </si>
  <si>
    <t>NCT05053451</t>
  </si>
  <si>
    <t>NCT05083377</t>
  </si>
  <si>
    <t>NCT05102929</t>
  </si>
  <si>
    <t>NCT05105542</t>
  </si>
  <si>
    <t>NCT05106309</t>
  </si>
  <si>
    <t>NCT05109065</t>
  </si>
  <si>
    <t>NCT05110157</t>
  </si>
  <si>
    <t>NCT05111548</t>
  </si>
  <si>
    <t>NCT05115604</t>
  </si>
  <si>
    <t>NCT05124470</t>
  </si>
  <si>
    <t>NCT05127837</t>
  </si>
  <si>
    <t>NCT05130853</t>
  </si>
  <si>
    <t>NCT05131035</t>
  </si>
  <si>
    <t>NCT05136690</t>
  </si>
  <si>
    <t>NCT05140135</t>
  </si>
  <si>
    <t>NCT05142735</t>
  </si>
  <si>
    <t>NCT05145413</t>
  </si>
  <si>
    <t>NCT05157620</t>
  </si>
  <si>
    <t>NCT05167396</t>
  </si>
  <si>
    <t>NCT05179525</t>
  </si>
  <si>
    <t>NCT05182476</t>
  </si>
  <si>
    <t>NCT05184335</t>
  </si>
  <si>
    <t>NCT05185128</t>
  </si>
  <si>
    <t>NCT05204407</t>
  </si>
  <si>
    <t>NCT05206292</t>
  </si>
  <si>
    <t>NCT05206734</t>
  </si>
  <si>
    <t>NCT05208190</t>
  </si>
  <si>
    <t>NCT05211947</t>
  </si>
  <si>
    <t>Alzheimer's Disease</t>
  </si>
  <si>
    <t>NCT05227118</t>
  </si>
  <si>
    <t>NCT05227690</t>
  </si>
  <si>
    <t>NCT05227703</t>
  </si>
  <si>
    <t>NCT05245539</t>
  </si>
  <si>
    <t>NCT05247151</t>
  </si>
  <si>
    <t>NCT05252039</t>
  </si>
  <si>
    <t>NCT05259306</t>
  </si>
  <si>
    <t>NCT05268809</t>
  </si>
  <si>
    <t>NCT05273164</t>
  </si>
  <si>
    <t>NCT05276050</t>
  </si>
  <si>
    <t>NCT05281640</t>
  </si>
  <si>
    <t>NCT05282186</t>
  </si>
  <si>
    <t>NCT05296720</t>
  </si>
  <si>
    <t>NCT05299749</t>
  </si>
  <si>
    <t>NCT05300633</t>
  </si>
  <si>
    <t>NCT05303064</t>
  </si>
  <si>
    <t>NCT05304767</t>
  </si>
  <si>
    <t>NCT05319080</t>
  </si>
  <si>
    <t>NCT05321602</t>
  </si>
  <si>
    <t>NCT05322031</t>
  </si>
  <si>
    <t>NCT05325645</t>
  </si>
  <si>
    <t>NCT05326347</t>
  </si>
  <si>
    <t>NCT05329363</t>
  </si>
  <si>
    <t>NCT05333003</t>
  </si>
  <si>
    <t>NCT05337904</t>
  </si>
  <si>
    <t>NCT05338424</t>
  </si>
  <si>
    <t>NCT05340348</t>
  </si>
  <si>
    <t>NCT05343598</t>
  </si>
  <si>
    <t>NCT05345184</t>
  </si>
  <si>
    <t>NCT05345977</t>
  </si>
  <si>
    <t>NCT05349513</t>
  </si>
  <si>
    <t>NCT05351736</t>
  </si>
  <si>
    <t>NCT05352568</t>
  </si>
  <si>
    <t>NCT05359081</t>
  </si>
  <si>
    <t>NCT05368558</t>
  </si>
  <si>
    <t>NCT05389345</t>
  </si>
  <si>
    <t>NCT05389787</t>
  </si>
  <si>
    <t>NCT05402111</t>
  </si>
  <si>
    <t>NCT05406440</t>
  </si>
  <si>
    <t>NCT05414058</t>
  </si>
  <si>
    <t>NCT05435300</t>
  </si>
  <si>
    <t>NCT05438160</t>
  </si>
  <si>
    <t>NCT05440955</t>
  </si>
  <si>
    <t>NCT05443724</t>
  </si>
  <si>
    <t>NCT05457127</t>
  </si>
  <si>
    <t>NCT05462340</t>
  </si>
  <si>
    <t>NCT05463770</t>
  </si>
  <si>
    <t>NCT05464563</t>
  </si>
  <si>
    <t>NCT05469815</t>
  </si>
  <si>
    <t>NCT05473741</t>
  </si>
  <si>
    <t>NCT05480046</t>
  </si>
  <si>
    <t>NCT05480826</t>
  </si>
  <si>
    <t>NCT05486312</t>
  </si>
  <si>
    <t>NCT05491486</t>
  </si>
  <si>
    <t>NCT05491538</t>
  </si>
  <si>
    <t>NCT05511363</t>
  </si>
  <si>
    <t>NCT05526833</t>
  </si>
  <si>
    <t>NCT05527210</t>
  </si>
  <si>
    <t>NCT05532683</t>
  </si>
  <si>
    <t>NCT05537428</t>
  </si>
  <si>
    <t>NCT05538832</t>
  </si>
  <si>
    <t>NCT05542264</t>
  </si>
  <si>
    <t>NCT05545111</t>
  </si>
  <si>
    <t>NCT05550155</t>
  </si>
  <si>
    <t>NCT05567848</t>
  </si>
  <si>
    <t>NCT05571228</t>
  </si>
  <si>
    <t>NCT05580211</t>
  </si>
  <si>
    <t>NCT05601050</t>
  </si>
  <si>
    <t>NCT05601063</t>
  </si>
  <si>
    <t>NCT05628103</t>
  </si>
  <si>
    <t>NCT05643170</t>
  </si>
  <si>
    <t>NCT05643196</t>
  </si>
  <si>
    <t>NCT05648591</t>
  </si>
  <si>
    <t>NCT05654870</t>
  </si>
  <si>
    <t>NCT05658510</t>
  </si>
  <si>
    <t>NCT05660018</t>
  </si>
  <si>
    <t>NCT05660070</t>
  </si>
  <si>
    <t>NCT05661448</t>
  </si>
  <si>
    <t>NCT05662306</t>
  </si>
  <si>
    <t>NCT05664594</t>
  </si>
  <si>
    <t>NCT05670197</t>
  </si>
  <si>
    <t>NCT05686239</t>
  </si>
  <si>
    <t>NCT05693935</t>
  </si>
  <si>
    <t>NCT05698589</t>
  </si>
  <si>
    <t>NCT05703412</t>
  </si>
  <si>
    <t>NCT05703698</t>
  </si>
  <si>
    <t>NCT05712928</t>
  </si>
  <si>
    <t>NCT05723328</t>
  </si>
  <si>
    <t>NCT05724810</t>
  </si>
  <si>
    <t>NCT05724953</t>
  </si>
  <si>
    <t>NCT05741502</t>
  </si>
  <si>
    <t>NCT05741528</t>
  </si>
  <si>
    <t>NCT05742893</t>
  </si>
  <si>
    <t>NCT05746455</t>
  </si>
  <si>
    <t>NCT05746494</t>
  </si>
  <si>
    <t>NCT05748990</t>
  </si>
  <si>
    <t>NCT05756855</t>
  </si>
  <si>
    <t>NCT05779241</t>
  </si>
  <si>
    <t>NCT05805397</t>
  </si>
  <si>
    <t>NCT05809401</t>
  </si>
  <si>
    <t>NCT05823532</t>
  </si>
  <si>
    <t>NCT05824117</t>
  </si>
  <si>
    <t>NCT05838560</t>
  </si>
  <si>
    <t>NCT05838625</t>
  </si>
  <si>
    <t>NCT05847192</t>
  </si>
  <si>
    <t>NCT05848700</t>
  </si>
  <si>
    <t>NCT05859698</t>
  </si>
  <si>
    <t>NCT05866328</t>
  </si>
  <si>
    <t>NCT05877716</t>
  </si>
  <si>
    <t>NCT05890183</t>
  </si>
  <si>
    <t>NCT05893862</t>
  </si>
  <si>
    <t>NCT05899348</t>
  </si>
  <si>
    <t>NCT05905003</t>
  </si>
  <si>
    <t>NCT05945602</t>
  </si>
  <si>
    <t>NCT05948111</t>
  </si>
  <si>
    <t>NCT05953740</t>
  </si>
  <si>
    <t>NCT05956327</t>
  </si>
  <si>
    <t>NCT05956951</t>
  </si>
  <si>
    <t>NCT05958875</t>
  </si>
  <si>
    <t>NCT05966610</t>
  </si>
  <si>
    <t>NCT05968638</t>
  </si>
  <si>
    <t>NCT05973110</t>
  </si>
  <si>
    <t>NCT05978921</t>
  </si>
  <si>
    <t>NCT05980949</t>
  </si>
  <si>
    <t>NCT05995457</t>
  </si>
  <si>
    <t>NCT06002958</t>
  </si>
  <si>
    <t>NCT06003036</t>
  </si>
  <si>
    <t>NCT06036108</t>
  </si>
  <si>
    <t>NCT06036316</t>
  </si>
  <si>
    <t>NCT06041646</t>
  </si>
  <si>
    <t>NCT06043206</t>
  </si>
  <si>
    <t>NCT06045897</t>
  </si>
  <si>
    <t>NCT06061952</t>
  </si>
  <si>
    <t>NCT06067984</t>
  </si>
  <si>
    <t>NCT06071858</t>
  </si>
  <si>
    <t>NCT06093451</t>
  </si>
  <si>
    <t>NCT06107764</t>
  </si>
  <si>
    <t>NCT06107803</t>
  </si>
  <si>
    <t>NCT06118268</t>
  </si>
  <si>
    <t>NCT06126224</t>
  </si>
  <si>
    <t>NCT06136390</t>
  </si>
  <si>
    <t>NCT06136936</t>
  </si>
  <si>
    <t>NCT06138054</t>
  </si>
  <si>
    <t>NCT06142422</t>
  </si>
  <si>
    <t>NCT06155695</t>
  </si>
  <si>
    <t>NCT06159322</t>
  </si>
  <si>
    <t>Alzheimer's Disease Psychosis</t>
  </si>
  <si>
    <t>NCT06159673</t>
  </si>
  <si>
    <t>NCT06174116</t>
  </si>
  <si>
    <t>NCT06179108</t>
  </si>
  <si>
    <t>NCT06191965</t>
  </si>
  <si>
    <t>NCT06194799</t>
  </si>
  <si>
    <t>NCT06208176</t>
  </si>
  <si>
    <t>NCT06225115</t>
  </si>
  <si>
    <t>NCT06229210</t>
  </si>
  <si>
    <t>NCT06231407</t>
  </si>
  <si>
    <t>NCT06236048</t>
  </si>
  <si>
    <t>NCT06245213</t>
  </si>
  <si>
    <t>NCT06251193</t>
  </si>
  <si>
    <t>NCT06257056</t>
  </si>
  <si>
    <t>NCT06270108</t>
  </si>
  <si>
    <t>NCT06275451</t>
  </si>
  <si>
    <t>NCT06278246</t>
  </si>
  <si>
    <t>NCT06315049</t>
  </si>
  <si>
    <t>NCT06315283</t>
  </si>
  <si>
    <t>NCT06319170</t>
  </si>
  <si>
    <t>NCT06336382</t>
  </si>
  <si>
    <t>NCT06336616</t>
  </si>
  <si>
    <t>NCT06345963</t>
  </si>
  <si>
    <t>NCT06361160</t>
  </si>
  <si>
    <t>NCT06372210</t>
  </si>
  <si>
    <t>NCT06374290</t>
  </si>
  <si>
    <t>NCT06384521</t>
  </si>
  <si>
    <t>NCT06386588</t>
  </si>
  <si>
    <t>NCT06389266</t>
  </si>
  <si>
    <t>NCT06423651</t>
  </si>
  <si>
    <t>NCT06446856</t>
  </si>
  <si>
    <t>NCT06456983</t>
  </si>
  <si>
    <t>NCT06482554</t>
  </si>
  <si>
    <t>NCT06486584</t>
  </si>
  <si>
    <t>NCT06486948</t>
  </si>
  <si>
    <t>NCT06494397</t>
  </si>
  <si>
    <t>NCT06502964</t>
  </si>
  <si>
    <t>NCT06505564</t>
  </si>
  <si>
    <t>NCT06527885</t>
  </si>
  <si>
    <t>PMID: 29212415</t>
  </si>
  <si>
    <t>PMID: 29941057</t>
  </si>
  <si>
    <t>PMID: 30109845</t>
  </si>
  <si>
    <t>PMID: 30167782</t>
  </si>
  <si>
    <t>PMID: 30278853</t>
  </si>
  <si>
    <t>PMID: 30306884</t>
  </si>
  <si>
    <t>PMID: 30346226</t>
  </si>
  <si>
    <t>PMID: 30536081</t>
  </si>
  <si>
    <t>PMID: 30569083</t>
  </si>
  <si>
    <t>PMID: 30599145</t>
  </si>
  <si>
    <t>PMID: 30606273</t>
  </si>
  <si>
    <t>PMID: 30660574</t>
  </si>
  <si>
    <t>PMID: 30777584</t>
  </si>
  <si>
    <t>PMID: 30790597</t>
  </si>
  <si>
    <t>PMID: 30822774</t>
  </si>
  <si>
    <t>PMID: 30829190</t>
  </si>
  <si>
    <t>PMID: 30903287</t>
  </si>
  <si>
    <t>PMID: 30912222</t>
  </si>
  <si>
    <t>PMID: 30928978</t>
  </si>
  <si>
    <t>PMID: 30937510</t>
  </si>
  <si>
    <t>PMID: 30944045</t>
  </si>
  <si>
    <t>PMID: 30994855</t>
  </si>
  <si>
    <t>PMID: 31041855</t>
  </si>
  <si>
    <t>PMID: 31077519</t>
  </si>
  <si>
    <t>PMID: 31077729</t>
  </si>
  <si>
    <t>PMID: 31103018</t>
  </si>
  <si>
    <t>PMID: 31264510</t>
  </si>
  <si>
    <t>PMID: 31298171</t>
  </si>
  <si>
    <t>PMID: 31343440</t>
  </si>
  <si>
    <t>PMID: 31353759</t>
  </si>
  <si>
    <t>PMID: 31365044</t>
  </si>
  <si>
    <t>PMID: 31375316</t>
  </si>
  <si>
    <t>PMID: 31376788</t>
  </si>
  <si>
    <t>PMID: 31390660</t>
  </si>
  <si>
    <t>PMID: 31416744</t>
  </si>
  <si>
    <t>PMID: 31416745</t>
  </si>
  <si>
    <t>PMID: 31437659</t>
  </si>
  <si>
    <t>PMID: 31446217</t>
  </si>
  <si>
    <t>PMID: 31463563</t>
  </si>
  <si>
    <t>PMID: 31471246</t>
  </si>
  <si>
    <t>PMID: 31477061</t>
  </si>
  <si>
    <t>PMID: 31481703</t>
  </si>
  <si>
    <t>PMID: 31486890</t>
  </si>
  <si>
    <t>PMID: 31487208</t>
  </si>
  <si>
    <t>PMID: 31494376</t>
  </si>
  <si>
    <t>PMID: 31520149</t>
  </si>
  <si>
    <t>PMID: 31565796</t>
  </si>
  <si>
    <t>PMID: 31595302</t>
  </si>
  <si>
    <t>PMID: 31617138</t>
  </si>
  <si>
    <t>PMID: 31617873</t>
  </si>
  <si>
    <t>PMID: 31633254</t>
  </si>
  <si>
    <t>PMID: 31634752</t>
  </si>
  <si>
    <t>PMID: 31641831</t>
  </si>
  <si>
    <t>PMID: 31642084</t>
  </si>
  <si>
    <t>PMID: 31648842</t>
  </si>
  <si>
    <t>PMID: 31651213</t>
  </si>
  <si>
    <t>PMID: 31652166</t>
  </si>
  <si>
    <t>PMID: 31672387</t>
  </si>
  <si>
    <t>PMID: 31678957</t>
  </si>
  <si>
    <t>PMID: 31685285</t>
  </si>
  <si>
    <t>PMID: 31688449</t>
  </si>
  <si>
    <t>PMID: 31688451</t>
  </si>
  <si>
    <t>PMID: 31707749</t>
  </si>
  <si>
    <t>PMID: 31711448</t>
  </si>
  <si>
    <t>PMID: 31712617</t>
  </si>
  <si>
    <t>PMID: 31722694</t>
  </si>
  <si>
    <t>PMID: 31728631</t>
  </si>
  <si>
    <t>PMID: 31744146</t>
  </si>
  <si>
    <t>PMID: 31747930</t>
  </si>
  <si>
    <t>PMID: 31752799</t>
  </si>
  <si>
    <t>PMID: 31759809</t>
  </si>
  <si>
    <t>PMID: 31762390</t>
  </si>
  <si>
    <t>PMID: 31780589</t>
  </si>
  <si>
    <t>PMID: 31786651</t>
  </si>
  <si>
    <t>PMID: 31788985</t>
  </si>
  <si>
    <t>PMID: 31825973</t>
  </si>
  <si>
    <t>PMID: 31831201</t>
  </si>
  <si>
    <t>PMID: 31836507</t>
  </si>
  <si>
    <t>PMID: 31837056</t>
  </si>
  <si>
    <t>PMID: 31837113</t>
  </si>
  <si>
    <t>PMID: 31847007</t>
  </si>
  <si>
    <t>PMID: 31876117</t>
  </si>
  <si>
    <t>PMID: 31881954</t>
  </si>
  <si>
    <t>PMID: 31883082</t>
  </si>
  <si>
    <t>PMID: 31913424</t>
  </si>
  <si>
    <t>PMID: 31927311</t>
  </si>
  <si>
    <t>PMID: 31954541</t>
  </si>
  <si>
    <t>PMID: 31973997</t>
  </si>
  <si>
    <t>PMID: 31996174</t>
  </si>
  <si>
    <t>PMID: 32007346</t>
  </si>
  <si>
    <t>PMID: 32015461</t>
  </si>
  <si>
    <t>PMID: 32036587</t>
  </si>
  <si>
    <t>PMID: 32052567</t>
  </si>
  <si>
    <t>PMID: 32062728</t>
  </si>
  <si>
    <t>PMID: 32068895</t>
  </si>
  <si>
    <t>PMID: 32098946</t>
  </si>
  <si>
    <t>PMID: 32107101</t>
  </si>
  <si>
    <t>PMID: 32122230</t>
  </si>
  <si>
    <t>PMID: 32141723</t>
  </si>
  <si>
    <t>PMID: 32141724</t>
  </si>
  <si>
    <t>PMID: 32160422</t>
  </si>
  <si>
    <t>PMID: 32169403</t>
  </si>
  <si>
    <t>PMID: 32180369</t>
  </si>
  <si>
    <t>PMID: 32220153</t>
  </si>
  <si>
    <t>PMID: 32237292</t>
  </si>
  <si>
    <t>PMID: 32239365</t>
  </si>
  <si>
    <t>PMID: 32250132</t>
  </si>
  <si>
    <t>PMID: 32276953</t>
  </si>
  <si>
    <t>PMID: 32294346</t>
  </si>
  <si>
    <t>PMID: 32297486</t>
  </si>
  <si>
    <t>PMID: 32332459</t>
  </si>
  <si>
    <t>PMID: 32332475</t>
  </si>
  <si>
    <t>PMID: 32340927</t>
  </si>
  <si>
    <t>PMID: 32349117</t>
  </si>
  <si>
    <t>PMID: 32349835</t>
  </si>
  <si>
    <t>PMID: 32354661</t>
  </si>
  <si>
    <t>PMID: 32393412</t>
  </si>
  <si>
    <t>PMID: 32401072</t>
  </si>
  <si>
    <t>PMID: 32403118</t>
  </si>
  <si>
    <t>PMID: 32433835</t>
  </si>
  <si>
    <t>PMID: 32448677</t>
  </si>
  <si>
    <t>PMID: 32450497</t>
  </si>
  <si>
    <t>PMID: 32458107</t>
  </si>
  <si>
    <t>PMID: 32483253</t>
  </si>
  <si>
    <t>PMID: 32513424</t>
  </si>
  <si>
    <t>PMID: 32519208</t>
  </si>
  <si>
    <t>PMID: 32539907</t>
  </si>
  <si>
    <t>PMID: 32606055</t>
  </si>
  <si>
    <t>PMID: 32613525</t>
  </si>
  <si>
    <t>PMID: 32614046</t>
  </si>
  <si>
    <t>PMID: 32633541</t>
  </si>
  <si>
    <t>PMID: 32639291</t>
  </si>
  <si>
    <t>PMID: 32648810</t>
  </si>
  <si>
    <t>PMID: 32667636</t>
  </si>
  <si>
    <t>PMID: 32679400</t>
  </si>
  <si>
    <t>PMID: 32686552</t>
  </si>
  <si>
    <t>PMID: 32693320</t>
  </si>
  <si>
    <t>PMID: 32748261</t>
  </si>
  <si>
    <t>PMID: 32750572</t>
  </si>
  <si>
    <t>PMID: 32763112</t>
  </si>
  <si>
    <t>PMID: 32790451</t>
  </si>
  <si>
    <t>PMID: 32791894</t>
  </si>
  <si>
    <t>PMID: 32796391</t>
  </si>
  <si>
    <t>PMID: 32841554</t>
  </si>
  <si>
    <t>PMID: 32846328</t>
  </si>
  <si>
    <t>PMID: 32854568</t>
  </si>
  <si>
    <t>PMID: 32868522</t>
  </si>
  <si>
    <t>PMID: 32893328</t>
  </si>
  <si>
    <t>PMID: 32919407</t>
  </si>
  <si>
    <t>PMID: 32920492</t>
  </si>
  <si>
    <t>PMID: 32930011</t>
  </si>
  <si>
    <t>PMID: 32936897</t>
  </si>
  <si>
    <t>PMID: 32943079</t>
  </si>
  <si>
    <t>PMID: 32945774</t>
  </si>
  <si>
    <t>PMID: 32961542</t>
  </si>
  <si>
    <t>PMID: 32981534</t>
  </si>
  <si>
    <t>PMID: 33002684</t>
  </si>
  <si>
    <t>PMID: 33009905</t>
  </si>
  <si>
    <t>PMID: 33077012</t>
  </si>
  <si>
    <t>PMID: 33087170</t>
  </si>
  <si>
    <t>PMID: 33108030</t>
  </si>
  <si>
    <t>PMID: 33113211</t>
  </si>
  <si>
    <t>PMID: 33138708</t>
  </si>
  <si>
    <t>PMID: 33141785</t>
  </si>
  <si>
    <t>PMID: 33161162</t>
  </si>
  <si>
    <t>PMID: 33183362</t>
  </si>
  <si>
    <t>PMID: 33203954</t>
  </si>
  <si>
    <t>PMID: 33208710</t>
  </si>
  <si>
    <t>PMID: 33210279</t>
  </si>
  <si>
    <t>PMID: 33222210</t>
  </si>
  <si>
    <t>PMID: 33223272</t>
  </si>
  <si>
    <t>PMID: 33230190</t>
  </si>
  <si>
    <t>PMID: 33258788</t>
  </si>
  <si>
    <t>PMID: 33272766</t>
  </si>
  <si>
    <t>PMID: 33279374</t>
  </si>
  <si>
    <t>PMID: 33290939</t>
  </si>
  <si>
    <t>PMID: 33292873</t>
  </si>
  <si>
    <t>PMID: 33326711</t>
  </si>
  <si>
    <t>PMID: 33340522</t>
  </si>
  <si>
    <t>PMID: 33347024</t>
  </si>
  <si>
    <t>PMID: 33389108</t>
  </si>
  <si>
    <t>PMID: 33434727</t>
  </si>
  <si>
    <t>PMID: 33434958</t>
  </si>
  <si>
    <t>PMID: 33479775</t>
  </si>
  <si>
    <t>PMID: 33484269</t>
  </si>
  <si>
    <t>PMID: 33551284</t>
  </si>
  <si>
    <t>PMID: 33587397</t>
  </si>
  <si>
    <t>PMID: 33587401</t>
  </si>
  <si>
    <t>PMID: 33603385</t>
  </si>
  <si>
    <t>PMID: 33608711</t>
  </si>
  <si>
    <t>PMID: 33610228</t>
  </si>
  <si>
    <t>PMID: 33626254</t>
  </si>
  <si>
    <t>PMID: 33630646</t>
  </si>
  <si>
    <t>PMID: 33711681</t>
  </si>
  <si>
    <t>PMID: 33711781</t>
  </si>
  <si>
    <t>PMID: 33735740</t>
  </si>
  <si>
    <t>PMID: 33753755</t>
  </si>
  <si>
    <t>PMID: 33783399</t>
  </si>
  <si>
    <t>PMID: 33814546</t>
  </si>
  <si>
    <t>PMID: 33839372</t>
  </si>
  <si>
    <t>PMID: 33849683</t>
  </si>
  <si>
    <t>PMID: 33853701</t>
  </si>
  <si>
    <t>PMID: 33854039</t>
  </si>
  <si>
    <t>PMID: 33857028</t>
  </si>
  <si>
    <t>PMID: 33858488</t>
  </si>
  <si>
    <t>PMID: 33894334</t>
  </si>
  <si>
    <t>PMID: 33895598</t>
  </si>
  <si>
    <t>PMID: 33902519</t>
  </si>
  <si>
    <t>PMID: 33908296</t>
  </si>
  <si>
    <t>PMID: 33961863</t>
  </si>
  <si>
    <t>PMID: 33962354</t>
  </si>
  <si>
    <t>PMID: 33963227</t>
  </si>
  <si>
    <t>PMID: 33966678</t>
  </si>
  <si>
    <t>PMID: 33988924</t>
  </si>
  <si>
    <t>PMID: 33998142</t>
  </si>
  <si>
    <t>PMID: 34015555</t>
  </si>
  <si>
    <t>PMID: 34015556</t>
  </si>
  <si>
    <t>PMID: 34112279</t>
  </si>
  <si>
    <t>PMID: 34126426</t>
  </si>
  <si>
    <t>PMID: 34170518</t>
  </si>
  <si>
    <t>PMID: 34187420</t>
  </si>
  <si>
    <t>PMID: 34242396</t>
  </si>
  <si>
    <t>PMID: 34258833</t>
  </si>
  <si>
    <t>PMID: 34261408</t>
  </si>
  <si>
    <t>PMID: 34270620</t>
  </si>
  <si>
    <t>PMID: 34289275</t>
  </si>
  <si>
    <t>PMID: 34301454</t>
  </si>
  <si>
    <t>PMID: 34304146</t>
  </si>
  <si>
    <t>PMID: 34309576</t>
  </si>
  <si>
    <t>PMID: 34332374</t>
  </si>
  <si>
    <t>PMID: 34332429</t>
  </si>
  <si>
    <t>PMID: 34404290</t>
  </si>
  <si>
    <t>PMID: 34410749</t>
  </si>
  <si>
    <t>PMID: 34428118</t>
  </si>
  <si>
    <t>PMID: 34429604</t>
  </si>
  <si>
    <t>PMID: 34470506</t>
  </si>
  <si>
    <t>PMID: 34500174</t>
  </si>
  <si>
    <t>PMID: 34510196</t>
  </si>
  <si>
    <t>PMID: 34544343</t>
  </si>
  <si>
    <t>PMID: 34551218</t>
  </si>
  <si>
    <t>PMID: 34561058</t>
  </si>
  <si>
    <t>PMID: 34570061</t>
  </si>
  <si>
    <t>PMID: 34625041</t>
  </si>
  <si>
    <t>PMID: 34626144</t>
  </si>
  <si>
    <t>PMID: 34633280</t>
  </si>
  <si>
    <t>PMID: 34649083</t>
  </si>
  <si>
    <t>PMID: 34653740</t>
  </si>
  <si>
    <t>PMID: 34667261</t>
  </si>
  <si>
    <t>PMID: 34673326</t>
  </si>
  <si>
    <t>PMID: 34700212</t>
  </si>
  <si>
    <t>PMID: 34740708</t>
  </si>
  <si>
    <t>PMID: 34766787</t>
  </si>
  <si>
    <t>PMID: 34785674</t>
  </si>
  <si>
    <t>PMID: 34791283</t>
  </si>
  <si>
    <t>PMID: 34814232</t>
  </si>
  <si>
    <t>PMID: 34839074</t>
  </si>
  <si>
    <t>PMID: 34847501</t>
  </si>
  <si>
    <t>PMID: 34861170</t>
  </si>
  <si>
    <t>PMID: 34886117</t>
  </si>
  <si>
    <t>PMID: 34896870</t>
  </si>
  <si>
    <t>PMID: 34930729</t>
  </si>
  <si>
    <t>PMID: 34934115</t>
  </si>
  <si>
    <t>PMID: 34963486</t>
  </si>
  <si>
    <t>PMID: 34983438</t>
  </si>
  <si>
    <t>PMID: 34989824</t>
  </si>
  <si>
    <t>PMID: 34991040</t>
  </si>
  <si>
    <t>PMID: 35012696</t>
  </si>
  <si>
    <t>PMID: 35032906</t>
  </si>
  <si>
    <t>PMID: 35037116</t>
  </si>
  <si>
    <t>PMID: 35133884</t>
  </si>
  <si>
    <t>PMID: 35150309</t>
  </si>
  <si>
    <t>PMID: 35176740</t>
  </si>
  <si>
    <t>PMID: 35177673</t>
  </si>
  <si>
    <t>PMID: 35182906</t>
  </si>
  <si>
    <t>PMID: 35193729</t>
  </si>
  <si>
    <t>PMID: 35211743</t>
  </si>
  <si>
    <t>PMID: 35235720</t>
  </si>
  <si>
    <t>PMID: 35247794</t>
  </si>
  <si>
    <t>PMID: 35276079</t>
  </si>
  <si>
    <t>PMID: 35276716</t>
  </si>
  <si>
    <t>PMID: 35277995</t>
  </si>
  <si>
    <t>PMID: 35303462</t>
  </si>
  <si>
    <t>PMID: 35343739</t>
  </si>
  <si>
    <t>PMID: 35421287</t>
  </si>
  <si>
    <t>PMID: 35422467</t>
  </si>
  <si>
    <t>PMID: 35438649</t>
  </si>
  <si>
    <t>PMID: 35443947</t>
  </si>
  <si>
    <t>PMID: 35467271</t>
  </si>
  <si>
    <t>PMID: 35526293</t>
  </si>
  <si>
    <t>PMID: 35552528</t>
  </si>
  <si>
    <t>PMID: 35569003</t>
  </si>
  <si>
    <t>PMID: 35569503</t>
  </si>
  <si>
    <t>PMID: 35586878</t>
  </si>
  <si>
    <t>PMID: 35634965</t>
  </si>
  <si>
    <t>PMID: 35636031</t>
  </si>
  <si>
    <t>PMID: 35639493</t>
  </si>
  <si>
    <t>PMID: 35686351</t>
  </si>
  <si>
    <t>PMID: 35687858</t>
  </si>
  <si>
    <t>PMID: 35701062</t>
  </si>
  <si>
    <t>PMID: 35704951</t>
  </si>
  <si>
    <t>PMID: 35715740</t>
  </si>
  <si>
    <t>PMID: 35759349</t>
  </si>
  <si>
    <t>PMID: 35759877</t>
  </si>
  <si>
    <t>PMID: 35781191</t>
  </si>
  <si>
    <t>PMID: 35839558</t>
  </si>
  <si>
    <t>PMID: 35857811</t>
  </si>
  <si>
    <t>PMID: 35921506</t>
  </si>
  <si>
    <t>PMID: 35932309</t>
  </si>
  <si>
    <t>PMID: 35939920</t>
  </si>
  <si>
    <t>PMID: 35939921</t>
  </si>
  <si>
    <t>PMID: 35953474</t>
  </si>
  <si>
    <t>PMID: 35971137</t>
  </si>
  <si>
    <t>PMID: 36031616</t>
  </si>
  <si>
    <t>PMID: 36031632</t>
  </si>
  <si>
    <t>PMID: 36037322</t>
  </si>
  <si>
    <t>PMID: 36047035</t>
  </si>
  <si>
    <t>PMID: 36085679</t>
  </si>
  <si>
    <t>PMID: 36115192</t>
  </si>
  <si>
    <t>PMID: 36122444</t>
  </si>
  <si>
    <t>PMID: 36153555</t>
  </si>
  <si>
    <t>PMID: 36154947</t>
  </si>
  <si>
    <t>PMID: 36182772</t>
  </si>
  <si>
    <t>PMID: 36190440</t>
  </si>
  <si>
    <t>PMID: 36231292</t>
  </si>
  <si>
    <t>PMID: 36347107</t>
  </si>
  <si>
    <t>PMID: 36370124</t>
  </si>
  <si>
    <t>PMID: 36401749</t>
  </si>
  <si>
    <t>PMID: 36414626</t>
  </si>
  <si>
    <t>PMID: 36424289</t>
  </si>
  <si>
    <t>PMID: 36462184</t>
  </si>
  <si>
    <t>PMID: 36463724</t>
  </si>
  <si>
    <t>PMID: 36468948</t>
  </si>
  <si>
    <t>PMID: 36475415</t>
  </si>
  <si>
    <t>PMID: 36541795</t>
  </si>
  <si>
    <t>PMID: 36558548</t>
  </si>
  <si>
    <t>PMID: 36577235</t>
  </si>
  <si>
    <t>PMID: 36660915</t>
  </si>
  <si>
    <t>PMID: 36691039</t>
  </si>
  <si>
    <t>PMID: 36692909</t>
  </si>
  <si>
    <t>PMID: 36716759</t>
  </si>
  <si>
    <t>PMID: 36720576</t>
  </si>
  <si>
    <t>PMID: 36797233</t>
  </si>
  <si>
    <t>PMID: 36803673</t>
  </si>
  <si>
    <t>PMID: 36804071</t>
  </si>
  <si>
    <t>PMID: 36807126</t>
  </si>
  <si>
    <t>PMID: 36856480</t>
  </si>
  <si>
    <t>PMID: 36883881</t>
  </si>
  <si>
    <t>PMID: 36891649</t>
  </si>
  <si>
    <t>PMID: 36905498</t>
  </si>
  <si>
    <t>PMID: 36927273</t>
  </si>
  <si>
    <t>PMID: 36928351</t>
  </si>
  <si>
    <t>PMID: 36933290</t>
  </si>
  <si>
    <t>PMID: 36946605</t>
  </si>
  <si>
    <t>PMID: 36958998</t>
  </si>
  <si>
    <t>PMID: 36965364</t>
  </si>
  <si>
    <t>PMID: 36988483</t>
  </si>
  <si>
    <t>PMID: 37004331</t>
  </si>
  <si>
    <t>PMID: 37010371</t>
  </si>
  <si>
    <t>PMID: 37012184</t>
  </si>
  <si>
    <t>PMID: 37019033</t>
  </si>
  <si>
    <t>PMID: 37028258</t>
  </si>
  <si>
    <t>Schizophrenia | Xanomeline</t>
  </si>
  <si>
    <t>PMID: 37036495</t>
  </si>
  <si>
    <t>PMID: 37118058</t>
  </si>
  <si>
    <t>PMID: 37141764</t>
  </si>
  <si>
    <t>PMID: 37232002</t>
  </si>
  <si>
    <t>PMID: 37267670</t>
  </si>
  <si>
    <t>PMID: 37349110</t>
  </si>
  <si>
    <t>PMID: 37386572</t>
  </si>
  <si>
    <t>PMID: 37442999</t>
  </si>
  <si>
    <t>PMID: 37466276</t>
  </si>
  <si>
    <t>PMID: 37494877</t>
  </si>
  <si>
    <t>PMID: 37506738</t>
  </si>
  <si>
    <t>PMID: 37532985</t>
  </si>
  <si>
    <t>PMID: 37597507</t>
  </si>
  <si>
    <t>PMID: 37625246</t>
  </si>
  <si>
    <t>PMID: 37647498</t>
  </si>
  <si>
    <t>PMID: 37653768</t>
  </si>
  <si>
    <t>PMID: 37670161</t>
  </si>
  <si>
    <t>PMID: 37690312</t>
  </si>
  <si>
    <t>PMID: 37696635</t>
  </si>
  <si>
    <t>PMID: 37716320</t>
  </si>
  <si>
    <t>PMID: 37732853</t>
  </si>
  <si>
    <t>PMID: 37778356</t>
  </si>
  <si>
    <t>PMID: 37833590</t>
  </si>
  <si>
    <t>PMID: 37857138</t>
  </si>
  <si>
    <t>PMID: 37903861</t>
  </si>
  <si>
    <t>PMID: 37924833</t>
  </si>
  <si>
    <t>PMID: 37962384</t>
  </si>
  <si>
    <t>PMID: 38053478</t>
  </si>
  <si>
    <t>PMID: 38084398</t>
  </si>
  <si>
    <t>PMID: 38151432</t>
  </si>
  <si>
    <t>PMID: 38157711</t>
  </si>
  <si>
    <t>PMID: 38166946</t>
  </si>
  <si>
    <t>PMID: 38199388</t>
  </si>
  <si>
    <t>PMID: 38218952</t>
  </si>
  <si>
    <t>PMID: 38237358</t>
  </si>
  <si>
    <t>PMID: 38253334</t>
  </si>
  <si>
    <t>PMID: 38262165</t>
  </si>
  <si>
    <t>PMID: 38301186</t>
  </si>
  <si>
    <t>PMID: 38309212</t>
  </si>
  <si>
    <t>PMID: 38355533</t>
  </si>
  <si>
    <t>PMID: 38372704</t>
  </si>
  <si>
    <t>PMID: 38387253</t>
  </si>
  <si>
    <t>PMID: 38388986</t>
  </si>
  <si>
    <t>PMID: 38416865</t>
  </si>
  <si>
    <t>PMID: 38421921</t>
  </si>
  <si>
    <t>PMID: 38453003</t>
  </si>
  <si>
    <t>PMID: 38493362</t>
  </si>
  <si>
    <t>PMID: 38527949</t>
  </si>
  <si>
    <t>PMID: 38533552</t>
  </si>
  <si>
    <t>PMID: 38537483</t>
  </si>
  <si>
    <t>PMID: 38547601</t>
  </si>
  <si>
    <t>PMID: 38566884</t>
  </si>
  <si>
    <t>PMID: 38644296</t>
  </si>
  <si>
    <t>PMID: 38664377</t>
  </si>
  <si>
    <t>PMID: 38713452</t>
  </si>
  <si>
    <t>PMID: 38718691</t>
  </si>
  <si>
    <t>PMID: 38749320</t>
  </si>
  <si>
    <t>PMID: 38750386</t>
  </si>
  <si>
    <t>PMID: 38769284</t>
  </si>
  <si>
    <t>PMID: 38806461</t>
  </si>
  <si>
    <t>PMID: 38877468</t>
  </si>
  <si>
    <t>PMID: 38954317</t>
  </si>
  <si>
    <t>PMID: 39018073</t>
  </si>
  <si>
    <t>PMID: 39034077</t>
  </si>
  <si>
    <t>PMID: 39054763</t>
  </si>
  <si>
    <t>PMID: 39075458</t>
  </si>
  <si>
    <t>UMIN000037282</t>
  </si>
  <si>
    <t>UMIN000037709</t>
  </si>
  <si>
    <t>UMIN000037946</t>
  </si>
  <si>
    <t>UMIN000039356</t>
  </si>
  <si>
    <t>UMIN000039521</t>
  </si>
  <si>
    <t>UMIN000041120</t>
  </si>
  <si>
    <t>UMIN000041293</t>
  </si>
  <si>
    <t>UMIN000042532</t>
  </si>
  <si>
    <t>UMIN000042756</t>
  </si>
  <si>
    <t>UMIN000043194</t>
  </si>
  <si>
    <t>UMIN000043345</t>
  </si>
  <si>
    <t>UMIN000044026</t>
  </si>
  <si>
    <t>UMIN000045075</t>
  </si>
  <si>
    <t>UMIN000045175</t>
  </si>
  <si>
    <t>UMIN000045178</t>
  </si>
  <si>
    <t>UMIN000047226</t>
  </si>
  <si>
    <t>UMIN000047405</t>
  </si>
  <si>
    <t>UMIN000048666</t>
  </si>
  <si>
    <t>UMIN000050711</t>
  </si>
  <si>
    <t>UMIN000050885</t>
  </si>
  <si>
    <t>UMIN000050904</t>
  </si>
  <si>
    <t>UMIN000051193</t>
  </si>
  <si>
    <t>UMIN000051974</t>
  </si>
  <si>
    <t>UMIN000053763</t>
  </si>
  <si>
    <t>UMIN000054290</t>
  </si>
  <si>
    <t>EudraCT Number: 2020-006062-36</t>
  </si>
  <si>
    <t>EudraCT Number: 2021-000350-26</t>
  </si>
  <si>
    <t>EudraCT Number: 2019-003343-29</t>
  </si>
  <si>
    <t>EudraCT Number: 2021-001278-44</t>
  </si>
  <si>
    <t>https://drks.de/search/en/trial/DRKS00017055</t>
  </si>
  <si>
    <t>https://drks.de/search/en/trial/DRKS00017577</t>
  </si>
  <si>
    <t>https://drks.de/search/en/trial/DRKS00018083</t>
  </si>
  <si>
    <t>https://drks.de/search/en/trial/DRKS00019079</t>
  </si>
  <si>
    <t>https://drks.de/search/en/trial/DRKS00019825</t>
  </si>
  <si>
    <t>https://drks.de/search/en/trial/DRKS00020476</t>
  </si>
  <si>
    <t>https://drks.de/search/en/trial/DRKS00022190</t>
  </si>
  <si>
    <t>https://drks.de/search/en/trial/DRKS00022214</t>
  </si>
  <si>
    <t>https://drks.de/search/en/trial/DRKS00022351</t>
  </si>
  <si>
    <t>https://drks.de/search/en/trial/DRKS00023143</t>
  </si>
  <si>
    <t>https://drks.de/search/en/trial/DRKS00023907</t>
  </si>
  <si>
    <t>https://drks.de/search/en/trial/DRKS00024178</t>
  </si>
  <si>
    <t>https://drks.de/search/en/trial/DRKS00024978</t>
  </si>
  <si>
    <t>https://drks.de/search/en/trial/DRKS00025885</t>
  </si>
  <si>
    <t>https://drks.de/search/en/trial/DRKS00025907</t>
  </si>
  <si>
    <t>https://drks.de/search/en/trial/DRKS00026118</t>
  </si>
  <si>
    <t>https://drks.de/search/en/trial/DRKS00026231</t>
  </si>
  <si>
    <t>https://drks.de/search/en/trial/DRKS00027002</t>
  </si>
  <si>
    <t>https://drks.de/search/en/trial/DRKS00027316</t>
  </si>
  <si>
    <t>https://drks.de/search/en/trial/DRKS00028050</t>
  </si>
  <si>
    <t>https://drks.de/search/en/trial/DRKS00028895</t>
  </si>
  <si>
    <t>https://drks.de/search/en/trial/DRKS00029044</t>
  </si>
  <si>
    <t>https://drks.de/search/en/trial/DRKS00030631</t>
  </si>
  <si>
    <t>https://drks.de/search/en/trial/DRKS00031680</t>
  </si>
  <si>
    <t>https://drks.de/search/en/trial/DRKS00032316</t>
  </si>
  <si>
    <t>https://drks.de/search/en/trial/DRKS00034230</t>
  </si>
  <si>
    <t>https://drks.de/search/en/trial/DRKS00034544</t>
  </si>
  <si>
    <t>https://www.isrctn.com/ISRCTN11998005</t>
  </si>
  <si>
    <t>https://www.isrctn.com/ISRCTN18419418</t>
  </si>
  <si>
    <t>https://www.isrctn.com/ISRCTN21141466</t>
  </si>
  <si>
    <t>https://www.isrctn.com/ISRCTN35980117</t>
  </si>
  <si>
    <t>https://www.isrctn.com/ISRCTN49498363</t>
  </si>
  <si>
    <t>https://www.isrctn.com/ISRCTN55682735</t>
  </si>
  <si>
    <t>https://www.isrctn.com/ISRCTN56047723</t>
  </si>
  <si>
    <t>https://www.isrctn.com/ISRCTN77257074</t>
  </si>
  <si>
    <t>https://www.isrctn.com/ISRCTN81150786</t>
  </si>
  <si>
    <t>https://www.isrctn.com/ISRCTN93382525</t>
  </si>
  <si>
    <t>https://jrct.niph.go.jp/en-latest-detail/jRCT1020210045</t>
  </si>
  <si>
    <t>https://jrct.niph.go.jp/en-latest-detail/jRCT1030210514</t>
  </si>
  <si>
    <t>https://jrct.niph.go.jp/en-latest-detail/jRCT1030210661</t>
  </si>
  <si>
    <t>https://jrct.niph.go.jp/en-latest-detail/jRCT1030220303</t>
  </si>
  <si>
    <t>https://jrct.niph.go.jp/en-latest-detail/jRCT1030220320</t>
  </si>
  <si>
    <t>https://jrct.niph.go.jp/en-latest-detail/jRCT1030240216</t>
  </si>
  <si>
    <t>https://jrct.niph.go.jp/en-latest-detail/jRCT1032230108</t>
  </si>
  <si>
    <t>https://jrct.niph.go.jp/en-latest-detail/jRCT1041210028</t>
  </si>
  <si>
    <t>https://jrct.niph.go.jp/en-latest-detail/jRCT1050210142</t>
  </si>
  <si>
    <t>https://jrct.niph.go.jp/en-latest-detail/jRCT1050220083</t>
  </si>
  <si>
    <t>https://jrct.niph.go.jp/en-latest-detail/jRCT1060220026</t>
  </si>
  <si>
    <t>https://jrct.niph.go.jp/en-latest-detail/jRCT1060240011</t>
  </si>
  <si>
    <t>https://jrct.niph.go.jp/en-latest-detail/jRCT1080225178</t>
  </si>
  <si>
    <t>https://jrct.niph.go.jp/en-latest-detail/jRCT2011210024</t>
  </si>
  <si>
    <t>https://jrct.niph.go.jp/en-latest-detail/jRCT2031200287</t>
  </si>
  <si>
    <t>https://jrct.niph.go.jp/en-latest-detail/jRCT2031200288</t>
  </si>
  <si>
    <t>https://jrct.niph.go.jp/en-latest-detail/jRCT2031210241</t>
  </si>
  <si>
    <t>https://jrct.niph.go.jp/en-latest-detail/jRCT2031210251</t>
  </si>
  <si>
    <t>https://jrct.niph.go.jp/en-latest-detail/jRCT2061210051</t>
  </si>
  <si>
    <t>https://jrct.niph.go.jp/en-latest-detail/jRCT2061220034</t>
  </si>
  <si>
    <t>https://jrct.niph.go.jp/en-latest-detail/jRCT2071210003</t>
  </si>
  <si>
    <t>https://jrct.niph.go.jp/en-latest-detail/jRCT2071210040</t>
  </si>
  <si>
    <t>https://jrct.niph.go.jp/en-latest-detail/jRCTs031190197</t>
  </si>
  <si>
    <t>https://jrct.niph.go.jp/en-latest-detail/jRCTs031200050</t>
  </si>
  <si>
    <t>https://jrct.niph.go.jp/en-latest-detail/jRCTs031200258</t>
  </si>
  <si>
    <t>https://jrct.niph.go.jp/en-latest-detail/jRCTs031200338</t>
  </si>
  <si>
    <t>https://jrct.niph.go.jp/en-latest-detail/jRCTs032190089</t>
  </si>
  <si>
    <t>https://jrct.niph.go.jp/en-latest-detail/jRCTs032190244</t>
  </si>
  <si>
    <t>https://jrct.niph.go.jp/en-latest-detail/jRCTs032200028</t>
  </si>
  <si>
    <t>https://jrct.niph.go.jp/en-latest-detail/jRCTs032210059</t>
  </si>
  <si>
    <t>https://jrct.niph.go.jp/en-latest-detail/jRCTs032210197</t>
  </si>
  <si>
    <t>https://jrct.niph.go.jp/en-latest-detail/jRCTs032220691</t>
  </si>
  <si>
    <t>https://jrct.niph.go.jp/en-latest-detail/jRCTs041210019</t>
  </si>
  <si>
    <t>https://jrct.niph.go.jp/en-latest-detail/jRCTs052230030</t>
  </si>
  <si>
    <t>https://clinicaltrials.gov/study/NCT00916201</t>
  </si>
  <si>
    <t>https://clinicaltrials.gov/study/NCT02361554</t>
  </si>
  <si>
    <t>https://clinicaltrials.gov/study/NCT02670447</t>
  </si>
  <si>
    <t>https://clinicaltrials.gov/study/NCT03575000</t>
  </si>
  <si>
    <t>https://clinicaltrials.gov/study/NCT03708315</t>
  </si>
  <si>
    <t>https://clinicaltrials.gov/study/NCT03807388</t>
  </si>
  <si>
    <t>https://clinicaltrials.gov/study/NCT03818256</t>
  </si>
  <si>
    <t>https://clinicaltrials.gov/study/NCT03818516</t>
  </si>
  <si>
    <t>https://clinicaltrials.gov/study/NCT03900754</t>
  </si>
  <si>
    <t>https://clinicaltrials.gov/study/NCT03911726</t>
  </si>
  <si>
    <t>https://clinicaltrials.gov/study/NCT03919760</t>
  </si>
  <si>
    <t>https://clinicaltrials.gov/study/NCT03943537</t>
  </si>
  <si>
    <t>https://clinicaltrials.gov/study/NCT03953664</t>
  </si>
  <si>
    <t>https://clinicaltrials.gov/study/NCT03959735</t>
  </si>
  <si>
    <t>https://clinicaltrials.gov/study/NCT03971487</t>
  </si>
  <si>
    <t>https://clinicaltrials.gov/study/NCT03972735</t>
  </si>
  <si>
    <t>https://clinicaltrials.gov/study/NCT03975400</t>
  </si>
  <si>
    <t>https://clinicaltrials.gov/study/NCT03995368</t>
  </si>
  <si>
    <t>https://clinicaltrials.gov/study/NCT03995420</t>
  </si>
  <si>
    <t>https://clinicaltrials.gov/study/NCT03999112</t>
  </si>
  <si>
    <t>https://clinicaltrials.gov/study/NCT04001114</t>
  </si>
  <si>
    <t>https://clinicaltrials.gov/study/NCT04004364</t>
  </si>
  <si>
    <t>https://clinicaltrials.gov/study/NCT04004416</t>
  </si>
  <si>
    <t>https://clinicaltrials.gov/study/NCT04005794</t>
  </si>
  <si>
    <t>https://clinicaltrials.gov/study/NCT04011280</t>
  </si>
  <si>
    <t>https://clinicaltrials.gov/study/NCT04013555</t>
  </si>
  <si>
    <t>https://clinicaltrials.gov/study/NCT04024371</t>
  </si>
  <si>
    <t>https://clinicaltrials.gov/study/NCT04025502</t>
  </si>
  <si>
    <t>https://clinicaltrials.gov/study/NCT04025905</t>
  </si>
  <si>
    <t>https://clinicaltrials.gov/study/NCT04030143</t>
  </si>
  <si>
    <t>https://clinicaltrials.gov/study/NCT04033679</t>
  </si>
  <si>
    <t>https://clinicaltrials.gov/study/NCT04033978</t>
  </si>
  <si>
    <t>https://clinicaltrials.gov/study/NCT04038840</t>
  </si>
  <si>
    <t>https://clinicaltrials.gov/study/NCT04038957</t>
  </si>
  <si>
    <t>https://clinicaltrials.gov/study/NCT04046497</t>
  </si>
  <si>
    <t>https://clinicaltrials.gov/study/NCT04054973</t>
  </si>
  <si>
    <t>https://clinicaltrials.gov/study/NCT04068467</t>
  </si>
  <si>
    <t>https://clinicaltrials.gov/study/NCT04068857</t>
  </si>
  <si>
    <t>https://clinicaltrials.gov/study/NCT04072354</t>
  </si>
  <si>
    <t>https://clinicaltrials.gov/study/NCT04072575</t>
  </si>
  <si>
    <t>https://clinicaltrials.gov/study/NCT04106960</t>
  </si>
  <si>
    <t>https://clinicaltrials.gov/study/NCT04109950</t>
  </si>
  <si>
    <t>https://clinicaltrials.gov/study/NCT04115319</t>
  </si>
  <si>
    <t>https://clinicaltrials.gov/study/NCT04118127</t>
  </si>
  <si>
    <t>https://clinicaltrials.gov/study/NCT04118283</t>
  </si>
  <si>
    <t>https://clinicaltrials.gov/study/NCT04123223</t>
  </si>
  <si>
    <t>https://clinicaltrials.gov/study/NCT04124744</t>
  </si>
  <si>
    <t>https://clinicaltrials.gov/study/NCT04127058</t>
  </si>
  <si>
    <t>https://clinicaltrials.gov/study/NCT04134871</t>
  </si>
  <si>
    <t>https://clinicaltrials.gov/study/NCT04136873</t>
  </si>
  <si>
    <t>https://clinicaltrials.gov/study/NCT04141540</t>
  </si>
  <si>
    <t>https://clinicaltrials.gov/study/NCT04143126</t>
  </si>
  <si>
    <t>https://clinicaltrials.gov/study/NCT04147897</t>
  </si>
  <si>
    <t>https://clinicaltrials.gov/study/NCT04158687</t>
  </si>
  <si>
    <t>https://clinicaltrials.gov/study/NCT04159662</t>
  </si>
  <si>
    <t>https://clinicaltrials.gov/study/NCT04173572</t>
  </si>
  <si>
    <t>https://clinicaltrials.gov/study/NCT04173598</t>
  </si>
  <si>
    <t>https://clinicaltrials.gov/study/NCT04182113</t>
  </si>
  <si>
    <t>https://clinicaltrials.gov/study/NCT04187560</t>
  </si>
  <si>
    <t>https://clinicaltrials.gov/study/NCT04191200</t>
  </si>
  <si>
    <t>https://clinicaltrials.gov/study/NCT04191876</t>
  </si>
  <si>
    <t>https://clinicaltrials.gov/study/NCT04203056</t>
  </si>
  <si>
    <t>https://clinicaltrials.gov/study/NCT04210557</t>
  </si>
  <si>
    <t>https://clinicaltrials.gov/study/NCT04221269</t>
  </si>
  <si>
    <t>https://clinicaltrials.gov/study/NCT04226898</t>
  </si>
  <si>
    <t>https://clinicaltrials.gov/study/NCT04237155</t>
  </si>
  <si>
    <t>https://clinicaltrials.gov/study/NCT04248517</t>
  </si>
  <si>
    <t>https://clinicaltrials.gov/study/NCT04267003</t>
  </si>
  <si>
    <t>https://clinicaltrials.gov/study/NCT04268303</t>
  </si>
  <si>
    <t>https://clinicaltrials.gov/study/NCT04277936</t>
  </si>
  <si>
    <t>https://clinicaltrials.gov/study/NCT04278339</t>
  </si>
  <si>
    <t>https://clinicaltrials.gov/study/NCT04280367</t>
  </si>
  <si>
    <t>https://clinicaltrials.gov/study/NCT04294719</t>
  </si>
  <si>
    <t>https://clinicaltrials.gov/study/NCT04300946</t>
  </si>
  <si>
    <t>https://clinicaltrials.gov/study/NCT04306146</t>
  </si>
  <si>
    <t>https://clinicaltrials.gov/study/NCT04309370</t>
  </si>
  <si>
    <t>https://clinicaltrials.gov/study/NCT04309435</t>
  </si>
  <si>
    <t>https://clinicaltrials.gov/study/NCT04312503</t>
  </si>
  <si>
    <t>https://clinicaltrials.gov/study/NCT04318977</t>
  </si>
  <si>
    <t>https://clinicaltrials.gov/study/NCT04321759</t>
  </si>
  <si>
    <t>https://clinicaltrials.gov/study/NCT04324944</t>
  </si>
  <si>
    <t>https://clinicaltrials.gov/study/NCT04325386</t>
  </si>
  <si>
    <t>https://clinicaltrials.gov/study/NCT04325737</t>
  </si>
  <si>
    <t>https://clinicaltrials.gov/study/NCT04338152</t>
  </si>
  <si>
    <t>https://clinicaltrials.gov/study/NCT04366401</t>
  </si>
  <si>
    <t>https://clinicaltrials.gov/study/NCT04368039</t>
  </si>
  <si>
    <t>https://clinicaltrials.gov/study/NCT04370730</t>
  </si>
  <si>
    <t>https://clinicaltrials.gov/study/NCT04395157</t>
  </si>
  <si>
    <t>https://clinicaltrials.gov/study/NCT04399096</t>
  </si>
  <si>
    <t>https://clinicaltrials.gov/study/NCT04414215</t>
  </si>
  <si>
    <t>https://clinicaltrials.gov/study/NCT04414930</t>
  </si>
  <si>
    <t>https://clinicaltrials.gov/study/NCT04418011</t>
  </si>
  <si>
    <t>https://clinicaltrials.gov/study/NCT04418466</t>
  </si>
  <si>
    <t>https://clinicaltrials.gov/study/NCT04421456</t>
  </si>
  <si>
    <t>https://clinicaltrials.gov/study/NCT04436757</t>
  </si>
  <si>
    <t>https://clinicaltrials.gov/study/NCT04452175</t>
  </si>
  <si>
    <t>https://clinicaltrials.gov/study/NCT04457310</t>
  </si>
  <si>
    <t>https://clinicaltrials.gov/study/NCT04461119</t>
  </si>
  <si>
    <t>https://clinicaltrials.gov/study/NCT04478838</t>
  </si>
  <si>
    <t>https://clinicaltrials.gov/study/NCT04481217</t>
  </si>
  <si>
    <t>https://clinicaltrials.gov/study/NCT04497857</t>
  </si>
  <si>
    <t>https://clinicaltrials.gov/study/NCT04506905</t>
  </si>
  <si>
    <t>https://clinicaltrials.gov/study/NCT04510298</t>
  </si>
  <si>
    <t>https://clinicaltrials.gov/study/NCT04512066</t>
  </si>
  <si>
    <t>https://clinicaltrials.gov/study/NCT04524403</t>
  </si>
  <si>
    <t>https://clinicaltrials.gov/study/NCT04526067</t>
  </si>
  <si>
    <t>https://clinicaltrials.gov/study/NCT04531982</t>
  </si>
  <si>
    <t>https://clinicaltrials.gov/study/NCT04554121</t>
  </si>
  <si>
    <t>https://clinicaltrials.gov/study/NCT04559529</t>
  </si>
  <si>
    <t>https://clinicaltrials.gov/study/NCT04567524</t>
  </si>
  <si>
    <t>https://clinicaltrials.gov/study/NCT04572685</t>
  </si>
  <si>
    <t>https://clinicaltrials.gov/study/NCT04578314</t>
  </si>
  <si>
    <t>https://clinicaltrials.gov/study/NCT04578756</t>
  </si>
  <si>
    <t>https://clinicaltrials.gov/study/NCT04580134</t>
  </si>
  <si>
    <t>https://clinicaltrials.gov/study/NCT04588129</t>
  </si>
  <si>
    <t>https://clinicaltrials.gov/study/NCT04590300</t>
  </si>
  <si>
    <t>https://clinicaltrials.gov/study/NCT04602741</t>
  </si>
  <si>
    <t>https://clinicaltrials.gov/study/NCT04608032</t>
  </si>
  <si>
    <t>https://clinicaltrials.gov/study/NCT04610697</t>
  </si>
  <si>
    <t>https://clinicaltrials.gov/study/NCT04624243</t>
  </si>
  <si>
    <t>https://clinicaltrials.gov/study/NCT04631939</t>
  </si>
  <si>
    <t>https://clinicaltrials.gov/study/NCT04655235</t>
  </si>
  <si>
    <t>https://clinicaltrials.gov/study/NCT04659161</t>
  </si>
  <si>
    <t>https://clinicaltrials.gov/study/NCT04659174</t>
  </si>
  <si>
    <t>https://clinicaltrials.gov/study/NCT04673851</t>
  </si>
  <si>
    <t>https://clinicaltrials.gov/study/NCT04681807</t>
  </si>
  <si>
    <t>https://clinicaltrials.gov/study/NCT04689867</t>
  </si>
  <si>
    <t>https://clinicaltrials.gov/study/NCT04709224</t>
  </si>
  <si>
    <t>https://clinicaltrials.gov/study/NCT04712734</t>
  </si>
  <si>
    <t>https://clinicaltrials.gov/study/NCT04730518</t>
  </si>
  <si>
    <t>https://clinicaltrials.gov/study/NCT04748679</t>
  </si>
  <si>
    <t>https://clinicaltrials.gov/study/NCT04752449</t>
  </si>
  <si>
    <t>https://clinicaltrials.gov/study/NCT04756388</t>
  </si>
  <si>
    <t>https://clinicaltrials.gov/study/NCT04763655</t>
  </si>
  <si>
    <t>https://clinicaltrials.gov/study/NCT04768335</t>
  </si>
  <si>
    <t>https://clinicaltrials.gov/study/NCT04779177</t>
  </si>
  <si>
    <t>https://clinicaltrials.gov/study/NCT04781179</t>
  </si>
  <si>
    <t>https://clinicaltrials.gov/study/NCT04783246</t>
  </si>
  <si>
    <t>https://clinicaltrials.gov/study/NCT04783571</t>
  </si>
  <si>
    <t>https://clinicaltrials.gov/study/NCT04787302</t>
  </si>
  <si>
    <t>https://clinicaltrials.gov/study/NCT04799717</t>
  </si>
  <si>
    <t>https://clinicaltrials.gov/study/NCT04807530</t>
  </si>
  <si>
    <t>https://clinicaltrials.gov/study/NCT04820309</t>
  </si>
  <si>
    <t>https://clinicaltrials.gov/study/NCT04822883</t>
  </si>
  <si>
    <t>https://clinicaltrials.gov/study/NCT04825860</t>
  </si>
  <si>
    <t>https://clinicaltrials.gov/study/NCT04846868</t>
  </si>
  <si>
    <t>https://clinicaltrials.gov/study/NCT04846881</t>
  </si>
  <si>
    <t>https://clinicaltrials.gov/study/NCT04856657</t>
  </si>
  <si>
    <t>https://clinicaltrials.gov/study/NCT04857983</t>
  </si>
  <si>
    <t>https://clinicaltrials.gov/study/NCT04860830</t>
  </si>
  <si>
    <t>https://clinicaltrials.gov/study/NCT04865835</t>
  </si>
  <si>
    <t>https://clinicaltrials.gov/study/NCT04867681</t>
  </si>
  <si>
    <t>https://clinicaltrials.gov/study/NCT04870710</t>
  </si>
  <si>
    <t>https://clinicaltrials.gov/study/NCT04874974</t>
  </si>
  <si>
    <t>https://clinicaltrials.gov/study/NCT04887792</t>
  </si>
  <si>
    <t>https://clinicaltrials.gov/study/NCT04895488</t>
  </si>
  <si>
    <t>https://clinicaltrials.gov/study/NCT04907279</t>
  </si>
  <si>
    <t>https://clinicaltrials.gov/study/NCT04911010</t>
  </si>
  <si>
    <t>https://clinicaltrials.gov/study/NCT04922593</t>
  </si>
  <si>
    <t>https://clinicaltrials.gov/study/NCT04940663</t>
  </si>
  <si>
    <t>https://clinicaltrials.gov/study/NCT04946916</t>
  </si>
  <si>
    <t>https://clinicaltrials.gov/study/NCT04951700</t>
  </si>
  <si>
    <t>https://clinicaltrials.gov/study/NCT04959032</t>
  </si>
  <si>
    <t>https://clinicaltrials.gov/study/NCT04968223</t>
  </si>
  <si>
    <t>https://clinicaltrials.gov/study/NCT04972227</t>
  </si>
  <si>
    <t>https://clinicaltrials.gov/study/NCT04985786</t>
  </si>
  <si>
    <t>https://clinicaltrials.gov/study/NCT04986072</t>
  </si>
  <si>
    <t>https://clinicaltrials.gov/study/NCT04987151</t>
  </si>
  <si>
    <t>https://clinicaltrials.gov/study/NCT04987229</t>
  </si>
  <si>
    <t>https://clinicaltrials.gov/study/NCT05017532</t>
  </si>
  <si>
    <t>https://clinicaltrials.gov/study/NCT05023252</t>
  </si>
  <si>
    <t>https://clinicaltrials.gov/study/NCT05025605</t>
  </si>
  <si>
    <t>https://clinicaltrials.gov/study/NCT05030272</t>
  </si>
  <si>
    <t>https://clinicaltrials.gov/study/NCT05032963</t>
  </si>
  <si>
    <t>https://clinicaltrials.gov/study/NCT05036590</t>
  </si>
  <si>
    <t>https://clinicaltrials.gov/study/NCT05046353</t>
  </si>
  <si>
    <t>https://clinicaltrials.gov/study/NCT05053451</t>
  </si>
  <si>
    <t>https://clinicaltrials.gov/study/NCT05083377</t>
  </si>
  <si>
    <t>https://clinicaltrials.gov/study/NCT05102929</t>
  </si>
  <si>
    <t>https://clinicaltrials.gov/study/NCT05105542</t>
  </si>
  <si>
    <t>https://clinicaltrials.gov/study/NCT05106309</t>
  </si>
  <si>
    <t>https://clinicaltrials.gov/study/NCT05109065</t>
  </si>
  <si>
    <t>https://clinicaltrials.gov/study/NCT05110157</t>
  </si>
  <si>
    <t>https://clinicaltrials.gov/study/NCT05111548</t>
  </si>
  <si>
    <t>https://clinicaltrials.gov/study/NCT05115604</t>
  </si>
  <si>
    <t>https://clinicaltrials.gov/study/NCT05124470</t>
  </si>
  <si>
    <t>https://clinicaltrials.gov/study/NCT05127837</t>
  </si>
  <si>
    <t>https://clinicaltrials.gov/study/NCT05130853</t>
  </si>
  <si>
    <t>https://clinicaltrials.gov/study/NCT05131035</t>
  </si>
  <si>
    <t>https://clinicaltrials.gov/study/NCT05136690</t>
  </si>
  <si>
    <t>https://clinicaltrials.gov/study/NCT05140135</t>
  </si>
  <si>
    <t>https://clinicaltrials.gov/study/NCT05142735</t>
  </si>
  <si>
    <t>https://clinicaltrials.gov/study/NCT05145413</t>
  </si>
  <si>
    <t>https://clinicaltrials.gov/study/NCT05157620</t>
  </si>
  <si>
    <t>https://clinicaltrials.gov/study/NCT05167396</t>
  </si>
  <si>
    <t>https://clinicaltrials.gov/study/NCT05179525</t>
  </si>
  <si>
    <t>https://clinicaltrials.gov/study/NCT05182476</t>
  </si>
  <si>
    <t>https://clinicaltrials.gov/study/NCT05184335</t>
  </si>
  <si>
    <t>https://clinicaltrials.gov/study/NCT05185128</t>
  </si>
  <si>
    <t>https://clinicaltrials.gov/study/NCT05204407</t>
  </si>
  <si>
    <t>https://clinicaltrials.gov/study/NCT05206292</t>
  </si>
  <si>
    <t>https://clinicaltrials.gov/study/NCT05206734</t>
  </si>
  <si>
    <t>https://clinicaltrials.gov/study/NCT05208190</t>
  </si>
  <si>
    <t>https://clinicaltrials.gov/study/NCT05211947</t>
  </si>
  <si>
    <t>https://clinicaltrials.gov/study/NCT05227118</t>
  </si>
  <si>
    <t>https://clinicaltrials.gov/study/NCT05227690</t>
  </si>
  <si>
    <t>https://clinicaltrials.gov/study/NCT05227703</t>
  </si>
  <si>
    <t>https://clinicaltrials.gov/study/NCT05245539</t>
  </si>
  <si>
    <t>https://clinicaltrials.gov/study/NCT05247151</t>
  </si>
  <si>
    <t>https://clinicaltrials.gov/study/NCT05252039</t>
  </si>
  <si>
    <t>https://clinicaltrials.gov/study/NCT05259306</t>
  </si>
  <si>
    <t>https://clinicaltrials.gov/study/NCT05268809</t>
  </si>
  <si>
    <t>https://clinicaltrials.gov/study/NCT05273164</t>
  </si>
  <si>
    <t>https://clinicaltrials.gov/study/NCT05276050</t>
  </si>
  <si>
    <t>https://clinicaltrials.gov/study/NCT05281640</t>
  </si>
  <si>
    <t>https://clinicaltrials.gov/study/NCT05282186</t>
  </si>
  <si>
    <t>https://clinicaltrials.gov/study/NCT05296720</t>
  </si>
  <si>
    <t>https://clinicaltrials.gov/study/NCT05299749</t>
  </si>
  <si>
    <t>https://clinicaltrials.gov/study/NCT05300633</t>
  </si>
  <si>
    <t>https://clinicaltrials.gov/study/NCT05303064</t>
  </si>
  <si>
    <t>https://clinicaltrials.gov/study/NCT05304767</t>
  </si>
  <si>
    <t>https://clinicaltrials.gov/study/NCT05319080</t>
  </si>
  <si>
    <t>https://clinicaltrials.gov/study/NCT05321602</t>
  </si>
  <si>
    <t>https://clinicaltrials.gov/study/NCT05322031</t>
  </si>
  <si>
    <t>https://clinicaltrials.gov/study/NCT05325645</t>
  </si>
  <si>
    <t>https://clinicaltrials.gov/study/NCT05326347</t>
  </si>
  <si>
    <t>https://clinicaltrials.gov/study/NCT05329363</t>
  </si>
  <si>
    <t>https://clinicaltrials.gov/study/NCT05333003</t>
  </si>
  <si>
    <t>https://clinicaltrials.gov/study/NCT05337904</t>
  </si>
  <si>
    <t>https://clinicaltrials.gov/study/NCT05338424</t>
  </si>
  <si>
    <t>https://clinicaltrials.gov/study/NCT05340348</t>
  </si>
  <si>
    <t>https://clinicaltrials.gov/study/NCT05343598</t>
  </si>
  <si>
    <t>https://clinicaltrials.gov/study/NCT05345184</t>
  </si>
  <si>
    <t>https://clinicaltrials.gov/study/NCT05345977</t>
  </si>
  <si>
    <t>https://clinicaltrials.gov/study/NCT05349513</t>
  </si>
  <si>
    <t>https://clinicaltrials.gov/study/NCT05351736</t>
  </si>
  <si>
    <t>https://clinicaltrials.gov/study/NCT05352568</t>
  </si>
  <si>
    <t>https://clinicaltrials.gov/study/NCT05359081</t>
  </si>
  <si>
    <t>https://clinicaltrials.gov/study/NCT05368558</t>
  </si>
  <si>
    <t>https://clinicaltrials.gov/study/NCT05389345</t>
  </si>
  <si>
    <t>https://clinicaltrials.gov/study/NCT05389787</t>
  </si>
  <si>
    <t>https://clinicaltrials.gov/study/NCT05402111</t>
  </si>
  <si>
    <t>https://clinicaltrials.gov/study/NCT05406440</t>
  </si>
  <si>
    <t>https://clinicaltrials.gov/study/NCT05414058</t>
  </si>
  <si>
    <t>https://clinicaltrials.gov/study/NCT05435300</t>
  </si>
  <si>
    <t>https://clinicaltrials.gov/study/NCT05438160</t>
  </si>
  <si>
    <t>https://clinicaltrials.gov/study/NCT05440955</t>
  </si>
  <si>
    <t>https://clinicaltrials.gov/study/NCT05443724</t>
  </si>
  <si>
    <t>https://clinicaltrials.gov/study/NCT05457127</t>
  </si>
  <si>
    <t>https://clinicaltrials.gov/study/NCT05462340</t>
  </si>
  <si>
    <t>https://clinicaltrials.gov/study/NCT05463770</t>
  </si>
  <si>
    <t>https://clinicaltrials.gov/study/NCT05464563</t>
  </si>
  <si>
    <t>https://clinicaltrials.gov/study/NCT05469815</t>
  </si>
  <si>
    <t>https://clinicaltrials.gov/study/NCT05473741</t>
  </si>
  <si>
    <t>https://clinicaltrials.gov/study/NCT05480046</t>
  </si>
  <si>
    <t>https://clinicaltrials.gov/study/NCT05480826</t>
  </si>
  <si>
    <t>https://clinicaltrials.gov/study/NCT05486312</t>
  </si>
  <si>
    <t>https://clinicaltrials.gov/study/NCT05491486</t>
  </si>
  <si>
    <t>https://clinicaltrials.gov/study/NCT05491538</t>
  </si>
  <si>
    <t>https://clinicaltrials.gov/study/NCT05511363</t>
  </si>
  <si>
    <t>https://clinicaltrials.gov/study/NCT05526833</t>
  </si>
  <si>
    <t>https://clinicaltrials.gov/study/NCT05527210</t>
  </si>
  <si>
    <t>https://clinicaltrials.gov/study/NCT05532683</t>
  </si>
  <si>
    <t>https://clinicaltrials.gov/study/NCT05537428</t>
  </si>
  <si>
    <t>https://clinicaltrials.gov/study/NCT05538832</t>
  </si>
  <si>
    <t>https://clinicaltrials.gov/study/NCT05542264</t>
  </si>
  <si>
    <t>https://clinicaltrials.gov/study/NCT05545111</t>
  </si>
  <si>
    <t>https://clinicaltrials.gov/study/NCT05550155</t>
  </si>
  <si>
    <t>https://clinicaltrials.gov/study/NCT05567848</t>
  </si>
  <si>
    <t>https://clinicaltrials.gov/study/NCT05571228</t>
  </si>
  <si>
    <t>https://clinicaltrials.gov/study/NCT05580211</t>
  </si>
  <si>
    <t>https://clinicaltrials.gov/study/NCT05601050</t>
  </si>
  <si>
    <t>https://clinicaltrials.gov/study/NCT05601063</t>
  </si>
  <si>
    <t>https://clinicaltrials.gov/study/NCT05628103</t>
  </si>
  <si>
    <t>https://clinicaltrials.gov/study/NCT05643170</t>
  </si>
  <si>
    <t>https://clinicaltrials.gov/study/NCT05643196</t>
  </si>
  <si>
    <t>https://clinicaltrials.gov/study/NCT05648591</t>
  </si>
  <si>
    <t>https://clinicaltrials.gov/study/NCT05654870</t>
  </si>
  <si>
    <t>https://clinicaltrials.gov/study/NCT05658510</t>
  </si>
  <si>
    <t>https://clinicaltrials.gov/study/NCT05660018</t>
  </si>
  <si>
    <t>https://clinicaltrials.gov/study/NCT05660070</t>
  </si>
  <si>
    <t>https://clinicaltrials.gov/study/NCT05661448</t>
  </si>
  <si>
    <t>https://clinicaltrials.gov/study/NCT05662306</t>
  </si>
  <si>
    <t>https://clinicaltrials.gov/study/NCT05664594</t>
  </si>
  <si>
    <t>https://clinicaltrials.gov/study/NCT05670197</t>
  </si>
  <si>
    <t>https://clinicaltrials.gov/study/NCT05686239</t>
  </si>
  <si>
    <t>https://clinicaltrials.gov/study/NCT05693935</t>
  </si>
  <si>
    <t>https://clinicaltrials.gov/study/NCT05698589</t>
  </si>
  <si>
    <t>https://clinicaltrials.gov/study/NCT05703412</t>
  </si>
  <si>
    <t>https://clinicaltrials.gov/study/NCT05703698</t>
  </si>
  <si>
    <t>https://clinicaltrials.gov/study/NCT05712928</t>
  </si>
  <si>
    <t>https://clinicaltrials.gov/study/NCT05723328</t>
  </si>
  <si>
    <t>https://clinicaltrials.gov/study/NCT05724810</t>
  </si>
  <si>
    <t>https://clinicaltrials.gov/study/NCT05724953</t>
  </si>
  <si>
    <t>https://clinicaltrials.gov/study/NCT05741502</t>
  </si>
  <si>
    <t>https://clinicaltrials.gov/study/NCT05741528</t>
  </si>
  <si>
    <t>https://clinicaltrials.gov/study/NCT05742893</t>
  </si>
  <si>
    <t>https://clinicaltrials.gov/study/NCT05746455</t>
  </si>
  <si>
    <t>https://clinicaltrials.gov/study/NCT05746494</t>
  </si>
  <si>
    <t>https://clinicaltrials.gov/study/NCT05748990</t>
  </si>
  <si>
    <t>https://clinicaltrials.gov/study/NCT05756855</t>
  </si>
  <si>
    <t>https://clinicaltrials.gov/study/NCT05779241</t>
  </si>
  <si>
    <t>https://clinicaltrials.gov/study/NCT05805397</t>
  </si>
  <si>
    <t>https://clinicaltrials.gov/study/NCT05809401</t>
  </si>
  <si>
    <t>https://clinicaltrials.gov/study/NCT05823532</t>
  </si>
  <si>
    <t>https://clinicaltrials.gov/study/NCT05824117</t>
  </si>
  <si>
    <t>https://clinicaltrials.gov/study/NCT05838560</t>
  </si>
  <si>
    <t>https://clinicaltrials.gov/study/NCT05838625</t>
  </si>
  <si>
    <t>https://clinicaltrials.gov/study/NCT05847192</t>
  </si>
  <si>
    <t>https://clinicaltrials.gov/study/NCT05848700</t>
  </si>
  <si>
    <t>https://clinicaltrials.gov/study/NCT05859698</t>
  </si>
  <si>
    <t>https://clinicaltrials.gov/study/NCT05866328</t>
  </si>
  <si>
    <t>https://clinicaltrials.gov/study/NCT05877716</t>
  </si>
  <si>
    <t>https://clinicaltrials.gov/study/NCT05890183</t>
  </si>
  <si>
    <t>https://clinicaltrials.gov/study/NCT05893862</t>
  </si>
  <si>
    <t>https://clinicaltrials.gov/study/NCT05899348</t>
  </si>
  <si>
    <t>https://clinicaltrials.gov/study/NCT05905003</t>
  </si>
  <si>
    <t>https://clinicaltrials.gov/study/NCT05945602</t>
  </si>
  <si>
    <t>https://clinicaltrials.gov/study/NCT05948111</t>
  </si>
  <si>
    <t>https://clinicaltrials.gov/study/NCT05953740</t>
  </si>
  <si>
    <t>https://clinicaltrials.gov/study/NCT05956327</t>
  </si>
  <si>
    <t>https://clinicaltrials.gov/study/NCT05956951</t>
  </si>
  <si>
    <t>https://clinicaltrials.gov/study/NCT05958875</t>
  </si>
  <si>
    <t>https://clinicaltrials.gov/study/NCT05966610</t>
  </si>
  <si>
    <t>https://clinicaltrials.gov/study/NCT05968638</t>
  </si>
  <si>
    <t>https://clinicaltrials.gov/study/NCT05973110</t>
  </si>
  <si>
    <t>https://clinicaltrials.gov/study/NCT05978921</t>
  </si>
  <si>
    <t>https://clinicaltrials.gov/study/NCT05980949</t>
  </si>
  <si>
    <t>https://clinicaltrials.gov/study/NCT05995457</t>
  </si>
  <si>
    <t>https://clinicaltrials.gov/study/NCT06002958</t>
  </si>
  <si>
    <t>https://clinicaltrials.gov/study/NCT06003036</t>
  </si>
  <si>
    <t>https://clinicaltrials.gov/study/NCT06036108</t>
  </si>
  <si>
    <t>https://clinicaltrials.gov/study/NCT06036316</t>
  </si>
  <si>
    <t>https://clinicaltrials.gov/study/NCT06041646</t>
  </si>
  <si>
    <t>https://clinicaltrials.gov/study/NCT06043206</t>
  </si>
  <si>
    <t>https://clinicaltrials.gov/study/NCT06045897</t>
  </si>
  <si>
    <t>https://clinicaltrials.gov/study/NCT06061952</t>
  </si>
  <si>
    <t>https://clinicaltrials.gov/study/NCT06067984</t>
  </si>
  <si>
    <t>https://clinicaltrials.gov/study/NCT06071858</t>
  </si>
  <si>
    <t>https://clinicaltrials.gov/study/NCT06093451</t>
  </si>
  <si>
    <t>https://clinicaltrials.gov/study/NCT06107764</t>
  </si>
  <si>
    <t>https://clinicaltrials.gov/study/NCT06107803</t>
  </si>
  <si>
    <t>https://clinicaltrials.gov/study/NCT06118268</t>
  </si>
  <si>
    <t>https://clinicaltrials.gov/study/NCT06126224</t>
  </si>
  <si>
    <t>https://clinicaltrials.gov/study/NCT06136390</t>
  </si>
  <si>
    <t>https://clinicaltrials.gov/study/NCT06136936</t>
  </si>
  <si>
    <t>https://clinicaltrials.gov/study/NCT06138054</t>
  </si>
  <si>
    <t>https://clinicaltrials.gov/study/NCT06142422</t>
  </si>
  <si>
    <t>https://clinicaltrials.gov/study/NCT06155695</t>
  </si>
  <si>
    <t>https://clinicaltrials.gov/study/NCT06159322</t>
  </si>
  <si>
    <t>https://clinicaltrials.gov/study/NCT06159673</t>
  </si>
  <si>
    <t>https://clinicaltrials.gov/study/NCT06174116</t>
  </si>
  <si>
    <t>https://clinicaltrials.gov/study/NCT06179108</t>
  </si>
  <si>
    <t>https://clinicaltrials.gov/study/NCT06191965</t>
  </si>
  <si>
    <t>https://clinicaltrials.gov/study/NCT06194799</t>
  </si>
  <si>
    <t>https://clinicaltrials.gov/study/NCT06208176</t>
  </si>
  <si>
    <t>https://clinicaltrials.gov/study/NCT06225115</t>
  </si>
  <si>
    <t>https://clinicaltrials.gov/study/NCT06229210</t>
  </si>
  <si>
    <t>https://clinicaltrials.gov/study/NCT06231407</t>
  </si>
  <si>
    <t>https://clinicaltrials.gov/study/NCT06236048</t>
  </si>
  <si>
    <t>https://clinicaltrials.gov/study/NCT06245213</t>
  </si>
  <si>
    <t>https://clinicaltrials.gov/study/NCT06251193</t>
  </si>
  <si>
    <t>https://clinicaltrials.gov/study/NCT06257056</t>
  </si>
  <si>
    <t>https://clinicaltrials.gov/study/NCT06270108</t>
  </si>
  <si>
    <t>https://clinicaltrials.gov/study/NCT06275451</t>
  </si>
  <si>
    <t>https://clinicaltrials.gov/study/NCT06278246</t>
  </si>
  <si>
    <t>https://clinicaltrials.gov/study/NCT06315049</t>
  </si>
  <si>
    <t>https://clinicaltrials.gov/study/NCT06315283</t>
  </si>
  <si>
    <t>https://clinicaltrials.gov/study/NCT06319170</t>
  </si>
  <si>
    <t>https://clinicaltrials.gov/study/NCT06336382</t>
  </si>
  <si>
    <t>https://clinicaltrials.gov/study/NCT06336616</t>
  </si>
  <si>
    <t>https://clinicaltrials.gov/study/NCT06345963</t>
  </si>
  <si>
    <t>https://clinicaltrials.gov/study/NCT06361160</t>
  </si>
  <si>
    <t>https://clinicaltrials.gov/study/NCT06372210</t>
  </si>
  <si>
    <t>https://clinicaltrials.gov/study/NCT06374290</t>
  </si>
  <si>
    <t>https://clinicaltrials.gov/study/NCT06384521</t>
  </si>
  <si>
    <t>https://clinicaltrials.gov/study/NCT06386588</t>
  </si>
  <si>
    <t>https://clinicaltrials.gov/study/NCT06389266</t>
  </si>
  <si>
    <t>https://clinicaltrials.gov/study/NCT06423651</t>
  </si>
  <si>
    <t>https://clinicaltrials.gov/study/NCT06446856</t>
  </si>
  <si>
    <t>https://clinicaltrials.gov/study/NCT06456983</t>
  </si>
  <si>
    <t>https://clinicaltrials.gov/study/NCT06482554</t>
  </si>
  <si>
    <t>https://clinicaltrials.gov/study/NCT06486584</t>
  </si>
  <si>
    <t>https://clinicaltrials.gov/study/NCT06486948</t>
  </si>
  <si>
    <t>https://clinicaltrials.gov/study/NCT06494397</t>
  </si>
  <si>
    <t>https://clinicaltrials.gov/study/NCT06502964</t>
  </si>
  <si>
    <t>https://clinicaltrials.gov/study/NCT06505564</t>
  </si>
  <si>
    <t>https://clinicaltrials.gov/study/NCT06527885</t>
  </si>
  <si>
    <t>https://pubmed.ncbi.nlm.nih.gov/29212415</t>
  </si>
  <si>
    <t>https://pubmed.ncbi.nlm.nih.gov/29941057</t>
  </si>
  <si>
    <t>https://pubmed.ncbi.nlm.nih.gov/30109845</t>
  </si>
  <si>
    <t>https://pubmed.ncbi.nlm.nih.gov/30167782</t>
  </si>
  <si>
    <t>https://pubmed.ncbi.nlm.nih.gov/30278853</t>
  </si>
  <si>
    <t>https://pubmed.ncbi.nlm.nih.gov/30306884</t>
  </si>
  <si>
    <t>https://pubmed.ncbi.nlm.nih.gov/30346226</t>
  </si>
  <si>
    <t>https://pubmed.ncbi.nlm.nih.gov/30536081</t>
  </si>
  <si>
    <t>https://pubmed.ncbi.nlm.nih.gov/30569083</t>
  </si>
  <si>
    <t>https://pubmed.ncbi.nlm.nih.gov/30599145</t>
  </si>
  <si>
    <t>https://pubmed.ncbi.nlm.nih.gov/30606273</t>
  </si>
  <si>
    <t>https://pubmed.ncbi.nlm.nih.gov/30660574</t>
  </si>
  <si>
    <t>https://pubmed.ncbi.nlm.nih.gov/30777584</t>
  </si>
  <si>
    <t>https://pubmed.ncbi.nlm.nih.gov/30790597</t>
  </si>
  <si>
    <t>https://pubmed.ncbi.nlm.nih.gov/30822774</t>
  </si>
  <si>
    <t>https://pubmed.ncbi.nlm.nih.gov/30829190</t>
  </si>
  <si>
    <t>https://pubmed.ncbi.nlm.nih.gov/30903287</t>
  </si>
  <si>
    <t>https://pubmed.ncbi.nlm.nih.gov/30912222</t>
  </si>
  <si>
    <t>https://pubmed.ncbi.nlm.nih.gov/30928978</t>
  </si>
  <si>
    <t>https://pubmed.ncbi.nlm.nih.gov/30937510</t>
  </si>
  <si>
    <t>https://pubmed.ncbi.nlm.nih.gov/30944045</t>
  </si>
  <si>
    <t>https://pubmed.ncbi.nlm.nih.gov/30994855</t>
  </si>
  <si>
    <t>https://pubmed.ncbi.nlm.nih.gov/31041855</t>
  </si>
  <si>
    <t>https://pubmed.ncbi.nlm.nih.gov/31077519</t>
  </si>
  <si>
    <t>https://pubmed.ncbi.nlm.nih.gov/31077729</t>
  </si>
  <si>
    <t>https://pubmed.ncbi.nlm.nih.gov/31103018</t>
  </si>
  <si>
    <t>https://pubmed.ncbi.nlm.nih.gov/31264510</t>
  </si>
  <si>
    <t>https://pubmed.ncbi.nlm.nih.gov/31298171</t>
  </si>
  <si>
    <t>https://pubmed.ncbi.nlm.nih.gov/31343440</t>
  </si>
  <si>
    <t>https://pubmed.ncbi.nlm.nih.gov/31353759</t>
  </si>
  <si>
    <t>https://pubmed.ncbi.nlm.nih.gov/31365044</t>
  </si>
  <si>
    <t>https://pubmed.ncbi.nlm.nih.gov/31375316</t>
  </si>
  <si>
    <t>https://pubmed.ncbi.nlm.nih.gov/31376788</t>
  </si>
  <si>
    <t>https://pubmed.ncbi.nlm.nih.gov/31390660</t>
  </si>
  <si>
    <t>https://pubmed.ncbi.nlm.nih.gov/31416744</t>
  </si>
  <si>
    <t>https://pubmed.ncbi.nlm.nih.gov/31416745</t>
  </si>
  <si>
    <t>https://pubmed.ncbi.nlm.nih.gov/31437659</t>
  </si>
  <si>
    <t>https://pubmed.ncbi.nlm.nih.gov/31446217</t>
  </si>
  <si>
    <t>https://pubmed.ncbi.nlm.nih.gov/31463563</t>
  </si>
  <si>
    <t>https://pubmed.ncbi.nlm.nih.gov/31471246</t>
  </si>
  <si>
    <t>https://pubmed.ncbi.nlm.nih.gov/31477061</t>
  </si>
  <si>
    <t>https://pubmed.ncbi.nlm.nih.gov/31481703</t>
  </si>
  <si>
    <t>https://pubmed.ncbi.nlm.nih.gov/31486890</t>
  </si>
  <si>
    <t>https://pubmed.ncbi.nlm.nih.gov/31487208</t>
  </si>
  <si>
    <t>https://pubmed.ncbi.nlm.nih.gov/31494376</t>
  </si>
  <si>
    <t>https://pubmed.ncbi.nlm.nih.gov/31520149</t>
  </si>
  <si>
    <t>https://pubmed.ncbi.nlm.nih.gov/31565796</t>
  </si>
  <si>
    <t>https://pubmed.ncbi.nlm.nih.gov/31595302</t>
  </si>
  <si>
    <t>https://pubmed.ncbi.nlm.nih.gov/31617138</t>
  </si>
  <si>
    <t>https://pubmed.ncbi.nlm.nih.gov/31617873</t>
  </si>
  <si>
    <t>https://pubmed.ncbi.nlm.nih.gov/31633254</t>
  </si>
  <si>
    <t>https://pubmed.ncbi.nlm.nih.gov/31634752</t>
  </si>
  <si>
    <t>https://pubmed.ncbi.nlm.nih.gov/31641831</t>
  </si>
  <si>
    <t>https://pubmed.ncbi.nlm.nih.gov/31642084</t>
  </si>
  <si>
    <t>https://pubmed.ncbi.nlm.nih.gov/31648842</t>
  </si>
  <si>
    <t>https://pubmed.ncbi.nlm.nih.gov/31651213</t>
  </si>
  <si>
    <t>https://pubmed.ncbi.nlm.nih.gov/31652166</t>
  </si>
  <si>
    <t>https://pubmed.ncbi.nlm.nih.gov/31672387</t>
  </si>
  <si>
    <t>https://pubmed.ncbi.nlm.nih.gov/31678957</t>
  </si>
  <si>
    <t>https://pubmed.ncbi.nlm.nih.gov/31685285</t>
  </si>
  <si>
    <t>https://pubmed.ncbi.nlm.nih.gov/31688449</t>
  </si>
  <si>
    <t>https://pubmed.ncbi.nlm.nih.gov/31688451</t>
  </si>
  <si>
    <t>https://pubmed.ncbi.nlm.nih.gov/31707749</t>
  </si>
  <si>
    <t>https://pubmed.ncbi.nlm.nih.gov/31711448</t>
  </si>
  <si>
    <t>https://pubmed.ncbi.nlm.nih.gov/31712617</t>
  </si>
  <si>
    <t>https://pubmed.ncbi.nlm.nih.gov/31722694</t>
  </si>
  <si>
    <t>https://pubmed.ncbi.nlm.nih.gov/31728631</t>
  </si>
  <si>
    <t>https://pubmed.ncbi.nlm.nih.gov/31744146</t>
  </si>
  <si>
    <t>https://pubmed.ncbi.nlm.nih.gov/31747930</t>
  </si>
  <si>
    <t>https://pubmed.ncbi.nlm.nih.gov/31752799</t>
  </si>
  <si>
    <t>https://pubmed.ncbi.nlm.nih.gov/31759809</t>
  </si>
  <si>
    <t>https://pubmed.ncbi.nlm.nih.gov/31762390</t>
  </si>
  <si>
    <t>https://pubmed.ncbi.nlm.nih.gov/31780589</t>
  </si>
  <si>
    <t>https://pubmed.ncbi.nlm.nih.gov/31786651</t>
  </si>
  <si>
    <t>https://pubmed.ncbi.nlm.nih.gov/31788985</t>
  </si>
  <si>
    <t>https://pubmed.ncbi.nlm.nih.gov/31825973</t>
  </si>
  <si>
    <t>https://pubmed.ncbi.nlm.nih.gov/31831201</t>
  </si>
  <si>
    <t>https://pubmed.ncbi.nlm.nih.gov/31836507</t>
  </si>
  <si>
    <t>https://pubmed.ncbi.nlm.nih.gov/31837056</t>
  </si>
  <si>
    <t>https://pubmed.ncbi.nlm.nih.gov/31837113</t>
  </si>
  <si>
    <t>https://pubmed.ncbi.nlm.nih.gov/31847007</t>
  </si>
  <si>
    <t>https://pubmed.ncbi.nlm.nih.gov/31876117</t>
  </si>
  <si>
    <t>https://pubmed.ncbi.nlm.nih.gov/31881954</t>
  </si>
  <si>
    <t>https://pubmed.ncbi.nlm.nih.gov/31883082</t>
  </si>
  <si>
    <t>https://pubmed.ncbi.nlm.nih.gov/31913424</t>
  </si>
  <si>
    <t>https://pubmed.ncbi.nlm.nih.gov/31927311</t>
  </si>
  <si>
    <t>https://pubmed.ncbi.nlm.nih.gov/31954541</t>
  </si>
  <si>
    <t>https://pubmed.ncbi.nlm.nih.gov/31973997</t>
  </si>
  <si>
    <t>https://pubmed.ncbi.nlm.nih.gov/31996174</t>
  </si>
  <si>
    <t>https://pubmed.ncbi.nlm.nih.gov/32007346</t>
  </si>
  <si>
    <t>https://pubmed.ncbi.nlm.nih.gov/32015461</t>
  </si>
  <si>
    <t>https://pubmed.ncbi.nlm.nih.gov/32036587</t>
  </si>
  <si>
    <t>https://pubmed.ncbi.nlm.nih.gov/32052567</t>
  </si>
  <si>
    <t>https://pubmed.ncbi.nlm.nih.gov/32062728</t>
  </si>
  <si>
    <t>https://pubmed.ncbi.nlm.nih.gov/32068895</t>
  </si>
  <si>
    <t>https://pubmed.ncbi.nlm.nih.gov/32098946</t>
  </si>
  <si>
    <t>https://pubmed.ncbi.nlm.nih.gov/32107101</t>
  </si>
  <si>
    <t>https://pubmed.ncbi.nlm.nih.gov/32122230</t>
  </si>
  <si>
    <t>https://pubmed.ncbi.nlm.nih.gov/32141723</t>
  </si>
  <si>
    <t>https://pubmed.ncbi.nlm.nih.gov/32141724</t>
  </si>
  <si>
    <t>https://pubmed.ncbi.nlm.nih.gov/32160422</t>
  </si>
  <si>
    <t>https://pubmed.ncbi.nlm.nih.gov/32169403</t>
  </si>
  <si>
    <t>https://pubmed.ncbi.nlm.nih.gov/32180369</t>
  </si>
  <si>
    <t>https://pubmed.ncbi.nlm.nih.gov/32220153</t>
  </si>
  <si>
    <t>https://pubmed.ncbi.nlm.nih.gov/32237292</t>
  </si>
  <si>
    <t>https://pubmed.ncbi.nlm.nih.gov/32239365</t>
  </si>
  <si>
    <t>https://pubmed.ncbi.nlm.nih.gov/32250132</t>
  </si>
  <si>
    <t>https://pubmed.ncbi.nlm.nih.gov/32276953</t>
  </si>
  <si>
    <t>https://pubmed.ncbi.nlm.nih.gov/32294346</t>
  </si>
  <si>
    <t>https://pubmed.ncbi.nlm.nih.gov/32297486</t>
  </si>
  <si>
    <t>https://pubmed.ncbi.nlm.nih.gov/32332459</t>
  </si>
  <si>
    <t>https://pubmed.ncbi.nlm.nih.gov/32332475</t>
  </si>
  <si>
    <t>https://pubmed.ncbi.nlm.nih.gov/32340927</t>
  </si>
  <si>
    <t>https://pubmed.ncbi.nlm.nih.gov/32349117</t>
  </si>
  <si>
    <t>https://pubmed.ncbi.nlm.nih.gov/32349835</t>
  </si>
  <si>
    <t>https://pubmed.ncbi.nlm.nih.gov/32354661</t>
  </si>
  <si>
    <t>https://pubmed.ncbi.nlm.nih.gov/32393412</t>
  </si>
  <si>
    <t>https://pubmed.ncbi.nlm.nih.gov/32401072</t>
  </si>
  <si>
    <t>https://pubmed.ncbi.nlm.nih.gov/32403118</t>
  </si>
  <si>
    <t>https://pubmed.ncbi.nlm.nih.gov/32433835</t>
  </si>
  <si>
    <t>https://pubmed.ncbi.nlm.nih.gov/32448677</t>
  </si>
  <si>
    <t>https://pubmed.ncbi.nlm.nih.gov/32450497</t>
  </si>
  <si>
    <t>https://pubmed.ncbi.nlm.nih.gov/32458107</t>
  </si>
  <si>
    <t>https://pubmed.ncbi.nlm.nih.gov/32483253</t>
  </si>
  <si>
    <t>https://pubmed.ncbi.nlm.nih.gov/32513424</t>
  </si>
  <si>
    <t>https://pubmed.ncbi.nlm.nih.gov/32519208</t>
  </si>
  <si>
    <t>https://pubmed.ncbi.nlm.nih.gov/32539907</t>
  </si>
  <si>
    <t>https://pubmed.ncbi.nlm.nih.gov/32606055</t>
  </si>
  <si>
    <t>https://pubmed.ncbi.nlm.nih.gov/32613525</t>
  </si>
  <si>
    <t>https://pubmed.ncbi.nlm.nih.gov/32614046</t>
  </si>
  <si>
    <t>https://pubmed.ncbi.nlm.nih.gov/32633541</t>
  </si>
  <si>
    <t>https://pubmed.ncbi.nlm.nih.gov/32639291</t>
  </si>
  <si>
    <t>https://pubmed.ncbi.nlm.nih.gov/32648810</t>
  </si>
  <si>
    <t>https://pubmed.ncbi.nlm.nih.gov/32667636</t>
  </si>
  <si>
    <t>https://pubmed.ncbi.nlm.nih.gov/32679400</t>
  </si>
  <si>
    <t>https://pubmed.ncbi.nlm.nih.gov/32686552</t>
  </si>
  <si>
    <t>https://pubmed.ncbi.nlm.nih.gov/32693320</t>
  </si>
  <si>
    <t>https://pubmed.ncbi.nlm.nih.gov/32748261</t>
  </si>
  <si>
    <t>https://pubmed.ncbi.nlm.nih.gov/32750572</t>
  </si>
  <si>
    <t>https://pubmed.ncbi.nlm.nih.gov/32763112</t>
  </si>
  <si>
    <t>https://pubmed.ncbi.nlm.nih.gov/32790451</t>
  </si>
  <si>
    <t>https://pubmed.ncbi.nlm.nih.gov/32791894</t>
  </si>
  <si>
    <t>https://pubmed.ncbi.nlm.nih.gov/32796391</t>
  </si>
  <si>
    <t>https://pubmed.ncbi.nlm.nih.gov/32841554</t>
  </si>
  <si>
    <t>https://pubmed.ncbi.nlm.nih.gov/32846328</t>
  </si>
  <si>
    <t>https://pubmed.ncbi.nlm.nih.gov/32854568</t>
  </si>
  <si>
    <t>https://pubmed.ncbi.nlm.nih.gov/32868522</t>
  </si>
  <si>
    <t>https://pubmed.ncbi.nlm.nih.gov/32893328</t>
  </si>
  <si>
    <t>https://pubmed.ncbi.nlm.nih.gov/32919407</t>
  </si>
  <si>
    <t>https://pubmed.ncbi.nlm.nih.gov/32920492</t>
  </si>
  <si>
    <t>https://pubmed.ncbi.nlm.nih.gov/32930011</t>
  </si>
  <si>
    <t>https://pubmed.ncbi.nlm.nih.gov/32936897</t>
  </si>
  <si>
    <t>https://pubmed.ncbi.nlm.nih.gov/32943079</t>
  </si>
  <si>
    <t>https://pubmed.ncbi.nlm.nih.gov/32945774</t>
  </si>
  <si>
    <t>https://pubmed.ncbi.nlm.nih.gov/32961542</t>
  </si>
  <si>
    <t>https://pubmed.ncbi.nlm.nih.gov/32981534</t>
  </si>
  <si>
    <t>https://pubmed.ncbi.nlm.nih.gov/33002684</t>
  </si>
  <si>
    <t>https://pubmed.ncbi.nlm.nih.gov/33009905</t>
  </si>
  <si>
    <t>https://pubmed.ncbi.nlm.nih.gov/33077012</t>
  </si>
  <si>
    <t>https://pubmed.ncbi.nlm.nih.gov/33087170</t>
  </si>
  <si>
    <t>https://pubmed.ncbi.nlm.nih.gov/33108030</t>
  </si>
  <si>
    <t>https://pubmed.ncbi.nlm.nih.gov/33113211</t>
  </si>
  <si>
    <t>https://pubmed.ncbi.nlm.nih.gov/33138708</t>
  </si>
  <si>
    <t>https://pubmed.ncbi.nlm.nih.gov/33141785</t>
  </si>
  <si>
    <t>https://pubmed.ncbi.nlm.nih.gov/33161162</t>
  </si>
  <si>
    <t>https://pubmed.ncbi.nlm.nih.gov/33183362</t>
  </si>
  <si>
    <t>https://pubmed.ncbi.nlm.nih.gov/33203954</t>
  </si>
  <si>
    <t>https://pubmed.ncbi.nlm.nih.gov/33208710</t>
  </si>
  <si>
    <t>https://pubmed.ncbi.nlm.nih.gov/33210279</t>
  </si>
  <si>
    <t>https://pubmed.ncbi.nlm.nih.gov/33222210</t>
  </si>
  <si>
    <t>https://pubmed.ncbi.nlm.nih.gov/33223272</t>
  </si>
  <si>
    <t>https://pubmed.ncbi.nlm.nih.gov/33230190</t>
  </si>
  <si>
    <t>https://pubmed.ncbi.nlm.nih.gov/33258788</t>
  </si>
  <si>
    <t>https://pubmed.ncbi.nlm.nih.gov/33272766</t>
  </si>
  <si>
    <t>https://pubmed.ncbi.nlm.nih.gov/33279374</t>
  </si>
  <si>
    <t>https://pubmed.ncbi.nlm.nih.gov/33290939</t>
  </si>
  <si>
    <t>https://pubmed.ncbi.nlm.nih.gov/33292873</t>
  </si>
  <si>
    <t>https://pubmed.ncbi.nlm.nih.gov/33326711</t>
  </si>
  <si>
    <t>https://pubmed.ncbi.nlm.nih.gov/33340522</t>
  </si>
  <si>
    <t>https://pubmed.ncbi.nlm.nih.gov/33347024</t>
  </si>
  <si>
    <t>https://pubmed.ncbi.nlm.nih.gov/33389108</t>
  </si>
  <si>
    <t>https://pubmed.ncbi.nlm.nih.gov/33434727</t>
  </si>
  <si>
    <t>https://pubmed.ncbi.nlm.nih.gov/33434958</t>
  </si>
  <si>
    <t>https://pubmed.ncbi.nlm.nih.gov/33479775</t>
  </si>
  <si>
    <t>https://pubmed.ncbi.nlm.nih.gov/33484269</t>
  </si>
  <si>
    <t>https://pubmed.ncbi.nlm.nih.gov/33551284</t>
  </si>
  <si>
    <t>https://pubmed.ncbi.nlm.nih.gov/33587397</t>
  </si>
  <si>
    <t>https://pubmed.ncbi.nlm.nih.gov/33587401</t>
  </si>
  <si>
    <t>https://pubmed.ncbi.nlm.nih.gov/33603385</t>
  </si>
  <si>
    <t>https://pubmed.ncbi.nlm.nih.gov/33608711</t>
  </si>
  <si>
    <t>https://pubmed.ncbi.nlm.nih.gov/33610228</t>
  </si>
  <si>
    <t>https://pubmed.ncbi.nlm.nih.gov/33626254</t>
  </si>
  <si>
    <t>https://pubmed.ncbi.nlm.nih.gov/33630646</t>
  </si>
  <si>
    <t>https://pubmed.ncbi.nlm.nih.gov/33711681</t>
  </si>
  <si>
    <t>https://pubmed.ncbi.nlm.nih.gov/33711781</t>
  </si>
  <si>
    <t>https://pubmed.ncbi.nlm.nih.gov/33735740</t>
  </si>
  <si>
    <t>https://pubmed.ncbi.nlm.nih.gov/33753755</t>
  </si>
  <si>
    <t>https://pubmed.ncbi.nlm.nih.gov/33783399</t>
  </si>
  <si>
    <t>https://pubmed.ncbi.nlm.nih.gov/33814546</t>
  </si>
  <si>
    <t>https://pubmed.ncbi.nlm.nih.gov/33839372</t>
  </si>
  <si>
    <t>https://pubmed.ncbi.nlm.nih.gov/33849683</t>
  </si>
  <si>
    <t>https://pubmed.ncbi.nlm.nih.gov/33853701</t>
  </si>
  <si>
    <t>https://pubmed.ncbi.nlm.nih.gov/33854039</t>
  </si>
  <si>
    <t>https://pubmed.ncbi.nlm.nih.gov/33857028</t>
  </si>
  <si>
    <t>https://pubmed.ncbi.nlm.nih.gov/33858488</t>
  </si>
  <si>
    <t>https://pubmed.ncbi.nlm.nih.gov/33894334</t>
  </si>
  <si>
    <t>https://pubmed.ncbi.nlm.nih.gov/33895598</t>
  </si>
  <si>
    <t>https://pubmed.ncbi.nlm.nih.gov/33902519</t>
  </si>
  <si>
    <t>https://pubmed.ncbi.nlm.nih.gov/33908296</t>
  </si>
  <si>
    <t>https://pubmed.ncbi.nlm.nih.gov/33961863</t>
  </si>
  <si>
    <t>https://pubmed.ncbi.nlm.nih.gov/33962354</t>
  </si>
  <si>
    <t>https://pubmed.ncbi.nlm.nih.gov/33963227</t>
  </si>
  <si>
    <t>https://pubmed.ncbi.nlm.nih.gov/33966678</t>
  </si>
  <si>
    <t>https://pubmed.ncbi.nlm.nih.gov/33988924</t>
  </si>
  <si>
    <t>https://pubmed.ncbi.nlm.nih.gov/33998142</t>
  </si>
  <si>
    <t>https://pubmed.ncbi.nlm.nih.gov/34015555</t>
  </si>
  <si>
    <t>https://pubmed.ncbi.nlm.nih.gov/34015556</t>
  </si>
  <si>
    <t>https://pubmed.ncbi.nlm.nih.gov/34112279</t>
  </si>
  <si>
    <t>https://pubmed.ncbi.nlm.nih.gov/34126426</t>
  </si>
  <si>
    <t>https://pubmed.ncbi.nlm.nih.gov/34170518</t>
  </si>
  <si>
    <t>https://pubmed.ncbi.nlm.nih.gov/34187420</t>
  </si>
  <si>
    <t>https://pubmed.ncbi.nlm.nih.gov/34242396</t>
  </si>
  <si>
    <t>https://pubmed.ncbi.nlm.nih.gov/34258833</t>
  </si>
  <si>
    <t>https://pubmed.ncbi.nlm.nih.gov/34261408</t>
  </si>
  <si>
    <t>https://pubmed.ncbi.nlm.nih.gov/34270620</t>
  </si>
  <si>
    <t>https://pubmed.ncbi.nlm.nih.gov/34289275</t>
  </si>
  <si>
    <t>https://pubmed.ncbi.nlm.nih.gov/34301454</t>
  </si>
  <si>
    <t>https://pubmed.ncbi.nlm.nih.gov/34304146</t>
  </si>
  <si>
    <t>https://pubmed.ncbi.nlm.nih.gov/34309576</t>
  </si>
  <si>
    <t>https://pubmed.ncbi.nlm.nih.gov/34332374</t>
  </si>
  <si>
    <t>https://pubmed.ncbi.nlm.nih.gov/34332429</t>
  </si>
  <si>
    <t>https://pubmed.ncbi.nlm.nih.gov/34404290</t>
  </si>
  <si>
    <t>https://pubmed.ncbi.nlm.nih.gov/34410749</t>
  </si>
  <si>
    <t>https://pubmed.ncbi.nlm.nih.gov/34428118</t>
  </si>
  <si>
    <t>https://pubmed.ncbi.nlm.nih.gov/34429604</t>
  </si>
  <si>
    <t>https://pubmed.ncbi.nlm.nih.gov/34470506</t>
  </si>
  <si>
    <t>https://pubmed.ncbi.nlm.nih.gov/34500174</t>
  </si>
  <si>
    <t>https://pubmed.ncbi.nlm.nih.gov/34510196</t>
  </si>
  <si>
    <t>https://pubmed.ncbi.nlm.nih.gov/34544343</t>
  </si>
  <si>
    <t>https://pubmed.ncbi.nlm.nih.gov/34551218</t>
  </si>
  <si>
    <t>https://pubmed.ncbi.nlm.nih.gov/34561058</t>
  </si>
  <si>
    <t>https://pubmed.ncbi.nlm.nih.gov/34570061</t>
  </si>
  <si>
    <t>https://pubmed.ncbi.nlm.nih.gov/34625041</t>
  </si>
  <si>
    <t>https://pubmed.ncbi.nlm.nih.gov/34626144</t>
  </si>
  <si>
    <t>https://pubmed.ncbi.nlm.nih.gov/34633280</t>
  </si>
  <si>
    <t>https://pubmed.ncbi.nlm.nih.gov/34649083</t>
  </si>
  <si>
    <t>https://pubmed.ncbi.nlm.nih.gov/34653740</t>
  </si>
  <si>
    <t>https://pubmed.ncbi.nlm.nih.gov/34667261</t>
  </si>
  <si>
    <t>https://pubmed.ncbi.nlm.nih.gov/34673326</t>
  </si>
  <si>
    <t>https://pubmed.ncbi.nlm.nih.gov/34700212</t>
  </si>
  <si>
    <t>https://pubmed.ncbi.nlm.nih.gov/34740708</t>
  </si>
  <si>
    <t>https://pubmed.ncbi.nlm.nih.gov/34766787</t>
  </si>
  <si>
    <t>https://pubmed.ncbi.nlm.nih.gov/34785674</t>
  </si>
  <si>
    <t>https://pubmed.ncbi.nlm.nih.gov/34791283</t>
  </si>
  <si>
    <t>https://pubmed.ncbi.nlm.nih.gov/34814232</t>
  </si>
  <si>
    <t>https://pubmed.ncbi.nlm.nih.gov/34839074</t>
  </si>
  <si>
    <t>https://pubmed.ncbi.nlm.nih.gov/34847501</t>
  </si>
  <si>
    <t>https://pubmed.ncbi.nlm.nih.gov/34861170</t>
  </si>
  <si>
    <t>https://pubmed.ncbi.nlm.nih.gov/34886117</t>
  </si>
  <si>
    <t>https://pubmed.ncbi.nlm.nih.gov/34896870</t>
  </si>
  <si>
    <t>https://pubmed.ncbi.nlm.nih.gov/34930729</t>
  </si>
  <si>
    <t>https://pubmed.ncbi.nlm.nih.gov/34934115</t>
  </si>
  <si>
    <t>https://pubmed.ncbi.nlm.nih.gov/34963486</t>
  </si>
  <si>
    <t>https://pubmed.ncbi.nlm.nih.gov/34983438</t>
  </si>
  <si>
    <t>https://pubmed.ncbi.nlm.nih.gov/34989824</t>
  </si>
  <si>
    <t>https://pubmed.ncbi.nlm.nih.gov/34991040</t>
  </si>
  <si>
    <t>https://pubmed.ncbi.nlm.nih.gov/35012696</t>
  </si>
  <si>
    <t>https://pubmed.ncbi.nlm.nih.gov/35032906</t>
  </si>
  <si>
    <t>https://pubmed.ncbi.nlm.nih.gov/35037116</t>
  </si>
  <si>
    <t>https://pubmed.ncbi.nlm.nih.gov/35133884</t>
  </si>
  <si>
    <t>https://pubmed.ncbi.nlm.nih.gov/35150309</t>
  </si>
  <si>
    <t>https://pubmed.ncbi.nlm.nih.gov/35176740</t>
  </si>
  <si>
    <t>https://pubmed.ncbi.nlm.nih.gov/35177673</t>
  </si>
  <si>
    <t>https://pubmed.ncbi.nlm.nih.gov/35182906</t>
  </si>
  <si>
    <t>https://pubmed.ncbi.nlm.nih.gov/35193729</t>
  </si>
  <si>
    <t>https://pubmed.ncbi.nlm.nih.gov/35211743</t>
  </si>
  <si>
    <t>https://pubmed.ncbi.nlm.nih.gov/35235720</t>
  </si>
  <si>
    <t>https://pubmed.ncbi.nlm.nih.gov/35247794</t>
  </si>
  <si>
    <t>https://pubmed.ncbi.nlm.nih.gov/35276079</t>
  </si>
  <si>
    <t>https://pubmed.ncbi.nlm.nih.gov/35276716</t>
  </si>
  <si>
    <t>https://pubmed.ncbi.nlm.nih.gov/35277995</t>
  </si>
  <si>
    <t>https://pubmed.ncbi.nlm.nih.gov/35303462</t>
  </si>
  <si>
    <t>https://pubmed.ncbi.nlm.nih.gov/35343739</t>
  </si>
  <si>
    <t>https://pubmed.ncbi.nlm.nih.gov/35421287</t>
  </si>
  <si>
    <t>https://pubmed.ncbi.nlm.nih.gov/35422467</t>
  </si>
  <si>
    <t>https://pubmed.ncbi.nlm.nih.gov/35438649</t>
  </si>
  <si>
    <t>https://pubmed.ncbi.nlm.nih.gov/35443947</t>
  </si>
  <si>
    <t>https://pubmed.ncbi.nlm.nih.gov/35467271</t>
  </si>
  <si>
    <t>https://pubmed.ncbi.nlm.nih.gov/35526293</t>
  </si>
  <si>
    <t>https://pubmed.ncbi.nlm.nih.gov/35552528</t>
  </si>
  <si>
    <t>https://pubmed.ncbi.nlm.nih.gov/35569003</t>
  </si>
  <si>
    <t>https://pubmed.ncbi.nlm.nih.gov/35569503</t>
  </si>
  <si>
    <t>https://pubmed.ncbi.nlm.nih.gov/35586878</t>
  </si>
  <si>
    <t>https://pubmed.ncbi.nlm.nih.gov/35634965</t>
  </si>
  <si>
    <t>https://pubmed.ncbi.nlm.nih.gov/35636031</t>
  </si>
  <si>
    <t>https://pubmed.ncbi.nlm.nih.gov/35639493</t>
  </si>
  <si>
    <t>https://pubmed.ncbi.nlm.nih.gov/35686351</t>
  </si>
  <si>
    <t>https://pubmed.ncbi.nlm.nih.gov/35687858</t>
  </si>
  <si>
    <t>https://pubmed.ncbi.nlm.nih.gov/35701062</t>
  </si>
  <si>
    <t>https://pubmed.ncbi.nlm.nih.gov/35704951</t>
  </si>
  <si>
    <t>https://pubmed.ncbi.nlm.nih.gov/35715740</t>
  </si>
  <si>
    <t>https://pubmed.ncbi.nlm.nih.gov/35759349</t>
  </si>
  <si>
    <t>https://pubmed.ncbi.nlm.nih.gov/35759877</t>
  </si>
  <si>
    <t>https://pubmed.ncbi.nlm.nih.gov/35781191</t>
  </si>
  <si>
    <t>https://pubmed.ncbi.nlm.nih.gov/35839558</t>
  </si>
  <si>
    <t>https://pubmed.ncbi.nlm.nih.gov/35857811</t>
  </si>
  <si>
    <t>https://pubmed.ncbi.nlm.nih.gov/35921506</t>
  </si>
  <si>
    <t>https://pubmed.ncbi.nlm.nih.gov/35932309</t>
  </si>
  <si>
    <t>https://pubmed.ncbi.nlm.nih.gov/35939920</t>
  </si>
  <si>
    <t>https://pubmed.ncbi.nlm.nih.gov/35939921</t>
  </si>
  <si>
    <t>https://pubmed.ncbi.nlm.nih.gov/35953474</t>
  </si>
  <si>
    <t>https://pubmed.ncbi.nlm.nih.gov/35971137</t>
  </si>
  <si>
    <t>https://pubmed.ncbi.nlm.nih.gov/36031616</t>
  </si>
  <si>
    <t>https://pubmed.ncbi.nlm.nih.gov/36031632</t>
  </si>
  <si>
    <t>https://pubmed.ncbi.nlm.nih.gov/36037322</t>
  </si>
  <si>
    <t>https://pubmed.ncbi.nlm.nih.gov/36047035</t>
  </si>
  <si>
    <t>https://pubmed.ncbi.nlm.nih.gov/36085679</t>
  </si>
  <si>
    <t>https://pubmed.ncbi.nlm.nih.gov/36115192</t>
  </si>
  <si>
    <t>https://pubmed.ncbi.nlm.nih.gov/36122444</t>
  </si>
  <si>
    <t>https://pubmed.ncbi.nlm.nih.gov/36153555</t>
  </si>
  <si>
    <t>https://pubmed.ncbi.nlm.nih.gov/36154947</t>
  </si>
  <si>
    <t>https://pubmed.ncbi.nlm.nih.gov/36182772</t>
  </si>
  <si>
    <t>https://pubmed.ncbi.nlm.nih.gov/36190440</t>
  </si>
  <si>
    <t>https://pubmed.ncbi.nlm.nih.gov/36231292</t>
  </si>
  <si>
    <t>https://pubmed.ncbi.nlm.nih.gov/36347107</t>
  </si>
  <si>
    <t>https://pubmed.ncbi.nlm.nih.gov/36370124</t>
  </si>
  <si>
    <t>https://pubmed.ncbi.nlm.nih.gov/36401749</t>
  </si>
  <si>
    <t>https://pubmed.ncbi.nlm.nih.gov/36414626</t>
  </si>
  <si>
    <t>https://pubmed.ncbi.nlm.nih.gov/36424289</t>
  </si>
  <si>
    <t>https://pubmed.ncbi.nlm.nih.gov/36462184</t>
  </si>
  <si>
    <t>https://pubmed.ncbi.nlm.nih.gov/36463724</t>
  </si>
  <si>
    <t>https://pubmed.ncbi.nlm.nih.gov/36468948</t>
  </si>
  <si>
    <t>https://pubmed.ncbi.nlm.nih.gov/36475415</t>
  </si>
  <si>
    <t>https://pubmed.ncbi.nlm.nih.gov/36541795</t>
  </si>
  <si>
    <t>https://pubmed.ncbi.nlm.nih.gov/36558548</t>
  </si>
  <si>
    <t>https://pubmed.ncbi.nlm.nih.gov/36577235</t>
  </si>
  <si>
    <t>https://pubmed.ncbi.nlm.nih.gov/36660915</t>
  </si>
  <si>
    <t>https://pubmed.ncbi.nlm.nih.gov/36691039</t>
  </si>
  <si>
    <t>https://pubmed.ncbi.nlm.nih.gov/36692909</t>
  </si>
  <si>
    <t>https://pubmed.ncbi.nlm.nih.gov/36716759</t>
  </si>
  <si>
    <t>https://pubmed.ncbi.nlm.nih.gov/36720576</t>
  </si>
  <si>
    <t>https://pubmed.ncbi.nlm.nih.gov/36797233</t>
  </si>
  <si>
    <t>https://pubmed.ncbi.nlm.nih.gov/36803673</t>
  </si>
  <si>
    <t>https://pubmed.ncbi.nlm.nih.gov/36804071</t>
  </si>
  <si>
    <t>https://pubmed.ncbi.nlm.nih.gov/36807126</t>
  </si>
  <si>
    <t>https://pubmed.ncbi.nlm.nih.gov/36856480</t>
  </si>
  <si>
    <t>https://pubmed.ncbi.nlm.nih.gov/36883881</t>
  </si>
  <si>
    <t>https://pubmed.ncbi.nlm.nih.gov/36891649</t>
  </si>
  <si>
    <t>https://pubmed.ncbi.nlm.nih.gov/36905498</t>
  </si>
  <si>
    <t>https://pubmed.ncbi.nlm.nih.gov/36927273</t>
  </si>
  <si>
    <t>https://pubmed.ncbi.nlm.nih.gov/36928351</t>
  </si>
  <si>
    <t>https://pubmed.ncbi.nlm.nih.gov/36933290</t>
  </si>
  <si>
    <t>https://pubmed.ncbi.nlm.nih.gov/36946605</t>
  </si>
  <si>
    <t>https://pubmed.ncbi.nlm.nih.gov/36958998</t>
  </si>
  <si>
    <t>https://pubmed.ncbi.nlm.nih.gov/36965364</t>
  </si>
  <si>
    <t>https://pubmed.ncbi.nlm.nih.gov/36988483</t>
  </si>
  <si>
    <t>https://pubmed.ncbi.nlm.nih.gov/37004331</t>
  </si>
  <si>
    <t>https://pubmed.ncbi.nlm.nih.gov/37010371</t>
  </si>
  <si>
    <t>https://pubmed.ncbi.nlm.nih.gov/37012184</t>
  </si>
  <si>
    <t>https://pubmed.ncbi.nlm.nih.gov/37019033</t>
  </si>
  <si>
    <t>https://pubmed.ncbi.nlm.nih.gov/37028258</t>
  </si>
  <si>
    <t>https://pubmed.ncbi.nlm.nih.gov/37036495</t>
  </si>
  <si>
    <t>https://pubmed.ncbi.nlm.nih.gov/37118058</t>
  </si>
  <si>
    <t>https://pubmed.ncbi.nlm.nih.gov/37141764</t>
  </si>
  <si>
    <t>https://pubmed.ncbi.nlm.nih.gov/37232002</t>
  </si>
  <si>
    <t>https://pubmed.ncbi.nlm.nih.gov/37267670</t>
  </si>
  <si>
    <t>https://pubmed.ncbi.nlm.nih.gov/37349110</t>
  </si>
  <si>
    <t>https://pubmed.ncbi.nlm.nih.gov/37386572</t>
  </si>
  <si>
    <t>https://pubmed.ncbi.nlm.nih.gov/37442999</t>
  </si>
  <si>
    <t>https://pubmed.ncbi.nlm.nih.gov/37466276</t>
  </si>
  <si>
    <t>https://pubmed.ncbi.nlm.nih.gov/37494877</t>
  </si>
  <si>
    <t>https://pubmed.ncbi.nlm.nih.gov/37506738</t>
  </si>
  <si>
    <t>https://pubmed.ncbi.nlm.nih.gov/37532985</t>
  </si>
  <si>
    <t>https://pubmed.ncbi.nlm.nih.gov/37597507</t>
  </si>
  <si>
    <t>https://pubmed.ncbi.nlm.nih.gov/37625246</t>
  </si>
  <si>
    <t>https://pubmed.ncbi.nlm.nih.gov/37647498</t>
  </si>
  <si>
    <t>https://pubmed.ncbi.nlm.nih.gov/37653768</t>
  </si>
  <si>
    <t>https://pubmed.ncbi.nlm.nih.gov/37670161</t>
  </si>
  <si>
    <t>https://pubmed.ncbi.nlm.nih.gov/37690312</t>
  </si>
  <si>
    <t>https://pubmed.ncbi.nlm.nih.gov/37696635</t>
  </si>
  <si>
    <t>https://pubmed.ncbi.nlm.nih.gov/37716320</t>
  </si>
  <si>
    <t>https://pubmed.ncbi.nlm.nih.gov/37732853</t>
  </si>
  <si>
    <t>https://pubmed.ncbi.nlm.nih.gov/37778356</t>
  </si>
  <si>
    <t>https://pubmed.ncbi.nlm.nih.gov/37833590</t>
  </si>
  <si>
    <t>https://pubmed.ncbi.nlm.nih.gov/37857138</t>
  </si>
  <si>
    <t>https://pubmed.ncbi.nlm.nih.gov/37903861</t>
  </si>
  <si>
    <t>https://pubmed.ncbi.nlm.nih.gov/37924833</t>
  </si>
  <si>
    <t>https://pubmed.ncbi.nlm.nih.gov/37962384</t>
  </si>
  <si>
    <t>https://pubmed.ncbi.nlm.nih.gov/38053478</t>
  </si>
  <si>
    <t>https://pubmed.ncbi.nlm.nih.gov/38084398</t>
  </si>
  <si>
    <t>https://pubmed.ncbi.nlm.nih.gov/38151432</t>
  </si>
  <si>
    <t>https://pubmed.ncbi.nlm.nih.gov/38157711</t>
  </si>
  <si>
    <t>https://pubmed.ncbi.nlm.nih.gov/38166946</t>
  </si>
  <si>
    <t>https://pubmed.ncbi.nlm.nih.gov/38199388</t>
  </si>
  <si>
    <t>https://pubmed.ncbi.nlm.nih.gov/38218952</t>
  </si>
  <si>
    <t>https://pubmed.ncbi.nlm.nih.gov/38237358</t>
  </si>
  <si>
    <t>https://pubmed.ncbi.nlm.nih.gov/38253334</t>
  </si>
  <si>
    <t>https://pubmed.ncbi.nlm.nih.gov/38262165</t>
  </si>
  <si>
    <t>https://pubmed.ncbi.nlm.nih.gov/38301186</t>
  </si>
  <si>
    <t>https://pubmed.ncbi.nlm.nih.gov/38309212</t>
  </si>
  <si>
    <t>https://pubmed.ncbi.nlm.nih.gov/38355533</t>
  </si>
  <si>
    <t>https://pubmed.ncbi.nlm.nih.gov/38372704</t>
  </si>
  <si>
    <t>https://pubmed.ncbi.nlm.nih.gov/38387253</t>
  </si>
  <si>
    <t>https://pubmed.ncbi.nlm.nih.gov/38388986</t>
  </si>
  <si>
    <t>https://pubmed.ncbi.nlm.nih.gov/38416865</t>
  </si>
  <si>
    <t>https://pubmed.ncbi.nlm.nih.gov/38421921</t>
  </si>
  <si>
    <t>https://pubmed.ncbi.nlm.nih.gov/38453003</t>
  </si>
  <si>
    <t>https://pubmed.ncbi.nlm.nih.gov/38493362</t>
  </si>
  <si>
    <t>https://pubmed.ncbi.nlm.nih.gov/38527949</t>
  </si>
  <si>
    <t>https://pubmed.ncbi.nlm.nih.gov/38533552</t>
  </si>
  <si>
    <t>https://pubmed.ncbi.nlm.nih.gov/38537483</t>
  </si>
  <si>
    <t>https://pubmed.ncbi.nlm.nih.gov/38547601</t>
  </si>
  <si>
    <t>https://pubmed.ncbi.nlm.nih.gov/38566884</t>
  </si>
  <si>
    <t>https://pubmed.ncbi.nlm.nih.gov/38644296</t>
  </si>
  <si>
    <t>https://pubmed.ncbi.nlm.nih.gov/38664377</t>
  </si>
  <si>
    <t>https://pubmed.ncbi.nlm.nih.gov/38713452</t>
  </si>
  <si>
    <t>https://pubmed.ncbi.nlm.nih.gov/38718691</t>
  </si>
  <si>
    <t>https://pubmed.ncbi.nlm.nih.gov/38749320</t>
  </si>
  <si>
    <t>https://pubmed.ncbi.nlm.nih.gov/38750386</t>
  </si>
  <si>
    <t>https://pubmed.ncbi.nlm.nih.gov/38769284</t>
  </si>
  <si>
    <t>https://pubmed.ncbi.nlm.nih.gov/38806461</t>
  </si>
  <si>
    <t>https://pubmed.ncbi.nlm.nih.gov/38877468</t>
  </si>
  <si>
    <t>https://pubmed.ncbi.nlm.nih.gov/38954317</t>
  </si>
  <si>
    <t>https://pubmed.ncbi.nlm.nih.gov/39018073</t>
  </si>
  <si>
    <t>https://pubmed.ncbi.nlm.nih.gov/39034077</t>
  </si>
  <si>
    <t>https://pubmed.ncbi.nlm.nih.gov/39054763</t>
  </si>
  <si>
    <t>https://pubmed.ncbi.nlm.nih.gov/39075458</t>
  </si>
  <si>
    <t>https://center6.umin.ac.jp/cgi-open-bin/ctr_e//ctr_view.cgi?recptno=R000042506</t>
  </si>
  <si>
    <t>https://center6.umin.ac.jp/cgi-open-bin/ctr_e//ctr_view.cgi?recptno=R000042960</t>
  </si>
  <si>
    <t>https://center6.umin.ac.jp/cgi-open-bin/ctr_e//ctr_view.cgi?recptno=R000041477</t>
  </si>
  <si>
    <t>https://center6.umin.ac.jp/cgi-open-bin/ctr_e//ctr_view.cgi?recptno=R000044835</t>
  </si>
  <si>
    <t>https://center6.umin.ac.jp/cgi-open-bin/ctr_e//ctr_view.cgi?recptno=R000045042</t>
  </si>
  <si>
    <t>https://center6.umin.ac.jp/cgi-open-bin/ctr_e//ctr_view.cgi?recptno=R000046914</t>
  </si>
  <si>
    <t>https://center6.umin.ac.jp/cgi-open-bin/ctr_e//ctr_view.cgi?recptno=R000047114</t>
  </si>
  <si>
    <t>https://center6.umin.ac.jp/cgi-open-bin/ctr_e//ctr_view.cgi?recptno=R000048547</t>
  </si>
  <si>
    <t>https://center6.umin.ac.jp/cgi-open-bin/ctr_e//ctr_view.cgi?recptno=R000048804</t>
  </si>
  <si>
    <t>https://center6.umin.ac.jp/cgi-open-bin/ctr_e//ctr_view.cgi?recptno=R000049296</t>
  </si>
  <si>
    <t>https://center6.umin.ac.jp/cgi-open-bin/ctr_e//ctr_view.cgi?recptno=R000049467</t>
  </si>
  <si>
    <t>https://center6.umin.ac.jp/cgi-open-bin/ctr_e//ctr_view.cgi?recptno=R000050273</t>
  </si>
  <si>
    <t>https://center6.umin.ac.jp/cgi-open-bin/ctr_e//ctr_view.cgi?recptno=R000051494</t>
  </si>
  <si>
    <t>https://center6.umin.ac.jp/cgi-open-bin/ctr_e//ctr_view.cgi?recptno=R000051597</t>
  </si>
  <si>
    <t>https://center6.umin.ac.jp/cgi-open-bin/ctr_e//ctr_view.cgi?recptno=R000051321</t>
  </si>
  <si>
    <t>https://center6.umin.ac.jp/cgi-open-bin/ctr_e//ctr_view.cgi?recptno=R000053860</t>
  </si>
  <si>
    <t>https://center6.umin.ac.jp/cgi-open-bin/ctr_e//ctr_view.cgi?recptno=R000054062</t>
  </si>
  <si>
    <t>https://center6.umin.ac.jp/cgi-open-bin/ctr_e//ctr_view.cgi?recptno=R000055454</t>
  </si>
  <si>
    <t>https://center6.umin.ac.jp/cgi-open-bin/ctr_e//ctr_view.cgi?recptno=R000057777</t>
  </si>
  <si>
    <t>https://center6.umin.ac.jp/cgi-open-bin/ctr_e//ctr_view.cgi?recptno=R000057436</t>
  </si>
  <si>
    <t>https://center6.umin.ac.jp/cgi-open-bin/ctr_e//ctr_view.cgi?recptno=R000058014</t>
  </si>
  <si>
    <t>https://center6.umin.ac.jp/cgi-open-bin/ctr_e//ctr_view.cgi?recptno=R000058177</t>
  </si>
  <si>
    <t>https://center6.umin.ac.jp/cgi-open-bin/ctr_e//ctr_view.cgi?recptno=R000059317</t>
  </si>
  <si>
    <t>https://center6.umin.ac.jp/cgi-open-bin/ctr_e//ctr_view.cgi?recptno=R000061356</t>
  </si>
  <si>
    <t>https://www.clinicaltrialsregister.eu/ctr-search/trial/2020-006062-36/IT</t>
  </si>
  <si>
    <t>https://www.clinicaltrialsregister.eu/ctr-search/trial/2021-000350-26/ES</t>
  </si>
  <si>
    <t>https://www.clinicaltrialsregister.eu/ctr-search/trial/2019-003343-29/ES</t>
  </si>
  <si>
    <t>https://www.clinicaltrialsregister.eu/ctr-search/trial/2021-001278-44/ES</t>
  </si>
  <si>
    <t>Schizophrenia | Schizoaffective Disorder | Depressive Type</t>
  </si>
  <si>
    <t>Recurrent Depressive Disorder | Schizophrenia</t>
  </si>
  <si>
    <t>Schizophrenia | Manic Episode</t>
  </si>
  <si>
    <t>Depression | Bipolar Disorder | Autism Spectrum Disorder | Schizophrenia</t>
  </si>
  <si>
    <t>Psychiatric Disorders (Schizophrenia | Mood Disorders)</t>
  </si>
  <si>
    <t>Schizophrenia | Schizoaffective Disorder</t>
  </si>
  <si>
    <t>Schizophrenia | Chronic Insomnia| Painful Disorder | Developmental Disorders | Strong Catastrophic Thinking</t>
  </si>
  <si>
    <t>Schizophrenia | Autism Spectrum Disorder</t>
  </si>
  <si>
    <t>Schizophrenia | Prediabetes</t>
  </si>
  <si>
    <t>Psychosis | Schizophrenia | Psychotic Disorders | Delirium | Hallucinations | Adherence | Medication | Treatment Side Effects</t>
  </si>
  <si>
    <t>Psychosis | Schizophrenia | Schizo Affective Disorder | Bipolar I Disorder</t>
  </si>
  <si>
    <t>Major Depressive Disorder | Bipolar Disorder | Schizophrenia</t>
  </si>
  <si>
    <t>Schizophrenia | First Episode Psychosis</t>
  </si>
  <si>
    <t>Schizophrenia | Traumatic Brain Injury</t>
  </si>
  <si>
    <t>Psychosis | Schizophrenia</t>
  </si>
  <si>
    <t>Tobacco Dependence | Schizophrenia</t>
  </si>
  <si>
    <t>Schizophrenia | Schizo Affective Disorder | Social Skills</t>
  </si>
  <si>
    <t>Bipolar Disorder | Schizophrenia | Schizoaffective Disorder | Nicotine Dependence</t>
  </si>
  <si>
    <t>Schizophrenia | Schizoaffective Disorder | Schizophreniform Disorder</t>
  </si>
  <si>
    <t>Schizophrenia | Bipolar I Disorder</t>
  </si>
  <si>
    <t>Schizophrenia;schizoaffective</t>
  </si>
  <si>
    <t>Schizo Affective Disorder | Schizophrenia</t>
  </si>
  <si>
    <t>Schizophrenia | Schizoaffective Disorder | Major Depressive Disorder | Bipolar Disorder</t>
  </si>
  <si>
    <t>Schizophrenia | Schizo Affective Disorder</t>
  </si>
  <si>
    <t>Chronic Pain | Schizophrenia | Psychotic Disorders | Bipolar Disorder | Affective Disorders | Psychotic</t>
  </si>
  <si>
    <t>Schizophrenia | Bipolar Disorder | Major Depressive Disorder</t>
  </si>
  <si>
    <t>Bipolar I Disorder | Schizophrenia</t>
  </si>
  <si>
    <t>Mental Illness | Schizophrenia | Bipolar Disorder | Major Depression | Psychosis</t>
  </si>
  <si>
    <t>Dental Diseases | Schizophrenia</t>
  </si>
  <si>
    <t>Schizophrenia | Schizo Affective Disorder | Bipolar Disorder | Depression</t>
  </si>
  <si>
    <t>Schizophrenia | Schizoaffective Disorder | Depressive Type | Schizophreniform Disorder</t>
  </si>
  <si>
    <t>Schizophrenia | Schizo Affective Disorder | Auditory Hallucination</t>
  </si>
  <si>
    <t>Schizophrenia | Suicide</t>
  </si>
  <si>
    <t>Schizophrenia | Learning Disorders | Executive Function Disorders</t>
  </si>
  <si>
    <t>Psychotic Disorders | Prodromal Symptoms | Prodromal Schizophrenia | Psychosis | Family</t>
  </si>
  <si>
    <t>Schizophrenia | Psychotic Disorders</t>
  </si>
  <si>
    <t>Schizophrenia | Parkinson Disease | Hallucinations</t>
  </si>
  <si>
    <t>Schizophrenia | Schizoaffective Disorder | Schizophreniform Disorders</t>
  </si>
  <si>
    <t>Schizophrenia | Bipolar Disorder | Personality Disorders | Anxiety Disorders | Depressive Disorder</t>
  </si>
  <si>
    <t>Depressive Disorder | Major | Bipolar Disorder | Schizo Affective Disorder | Schizophrenia</t>
  </si>
  <si>
    <t>Verbal Auditory Hallucination | Psychotic Disorders | Psychosis | Schizophrenia</t>
  </si>
  <si>
    <t>Schizophrenia | Bipolar I Disorder | Autism Spectrum Disorder (ASD)</t>
  </si>
  <si>
    <t>Schizophrenia | Schizoaffective Disorder | Bipolar 1 Disorder</t>
  </si>
  <si>
    <t>Schizophrenia | Bipolar Disorder</t>
  </si>
  <si>
    <t>Schizophrenia | Schizo Affective Disorder | Psychotic Disorders</t>
  </si>
  <si>
    <t>Schizophrenia | Schizophrenia; Psychosis</t>
  </si>
  <si>
    <t>Schizophrenia; Psychosis | Persecutory Delusion</t>
  </si>
  <si>
    <t>Psychotic Disorders | Schizophrenia</t>
  </si>
  <si>
    <t>Schizophrenia | Pediatric</t>
  </si>
  <si>
    <t>Schizophrenia | Apathy</t>
  </si>
  <si>
    <t>Psychotic Disorders | Schizophrenia Spectrum Disorders</t>
  </si>
  <si>
    <t>Cognitive Impairment | Schizophrenia</t>
  </si>
  <si>
    <t>Psychosis | Schizophrenia | Schizo Affective Disorder</t>
  </si>
  <si>
    <t>Schizophrenia | Schizoaffective Disorder | Bipolar Disorder</t>
  </si>
  <si>
    <t>Schizophrenia | Schizo Affective Disorder | Bipolar I Disorder</t>
  </si>
  <si>
    <t>Post Traumatic Stress Disorder | Psychotic Disorders | Psychosis | Schizophrenia | Ptsd</t>
  </si>
  <si>
    <t>Schizophrenia | Bipolar Disorder | Alzheimer Disease | Ftd</t>
  </si>
  <si>
    <t>Schizophrenia | Aging | Disease Course | Biomarker | Neuroimaging | Cognitive Dysfunction</t>
  </si>
  <si>
    <t>Psychosis | Schizophrenia | Cognitive Impairment</t>
  </si>
  <si>
    <t>Tobacco Use Disorder | Mental Illness | Recurring Major Depressive Disorder | Bipolar Disorder | Schizophrenia | Schizoaffective Disorder | Persistent Depressive Disorder</t>
  </si>
  <si>
    <t>Schizophrenia | Schizoaffective Disorder | Healthy</t>
  </si>
  <si>
    <t>Schizophrenia | Schizo Affective Disorder | Schizophreniform Disorders</t>
  </si>
  <si>
    <t>Schizophrenia | Schizo Affective Disorder | Bipolar Disorder</t>
  </si>
  <si>
    <t>Insomnia | Schizophrenia</t>
  </si>
  <si>
    <t>Psychosis | Schizophrenia | Schizo Affective Disorder | Bipolar Disorder | Depressive Disorder</t>
  </si>
  <si>
    <t>Psychosis | Prodromal Schizophrenia | Prodromal Symptoms</t>
  </si>
  <si>
    <t>Schizophrenia | Schizoaffective | Bipolar Disorder 1</t>
  </si>
  <si>
    <t>Prodromal Schizophrenia | Psychotic Episode | Prodromal Symptoms | Healthy Controls</t>
  </si>
  <si>
    <t>Blood Pressure | Schizophrenia</t>
  </si>
  <si>
    <t>Smoking Cessation | Nicotine Addiction | Schizophrenia</t>
  </si>
  <si>
    <t>Schizophrenia | Myelin Degeneration | Cognition Disorder</t>
  </si>
  <si>
    <t>Psychosis | Schizophrenia | Schizoaffective Disorder</t>
  </si>
  <si>
    <t>Schizophrenia Prodromal | Schizophrenia | Childhood | Schizophrenia</t>
  </si>
  <si>
    <t>Schizophrenia | Schizoaffective | Cognition</t>
  </si>
  <si>
    <t>Schizophrenia | Cerebellar Function | Condition</t>
  </si>
  <si>
    <t>Schizophrenia | Schizoaffective</t>
  </si>
  <si>
    <t>Schizophrenia | Psychotic Disorder</t>
  </si>
  <si>
    <t>Schizophrenia | Schizophrenia Relapse</t>
  </si>
  <si>
    <t>Prodromal Schizophrenia | Psychosis | Psychological Disorder | Psychological Stress</t>
  </si>
  <si>
    <t>Schizophrenia | Schizoaffective Disorder | Prodromal Schizophrenia</t>
  </si>
  <si>
    <t>Schizophrenia | Schizophrenia Schizoaffective</t>
  </si>
  <si>
    <t>Schizophrenia Schizoaffective | Schizophrenia</t>
  </si>
  <si>
    <t>Schizophrenia | Schizoaffective Disorder | Mood Disorder | Psychotic</t>
  </si>
  <si>
    <t>Schizophrenia | Cognition</t>
  </si>
  <si>
    <t>Bipolar Disorder | Schizophrenia | Depression | Borderline Personality Disorder | Autism Spectrum Disorder</t>
  </si>
  <si>
    <t>Bipolar Disorder | Major Depression | Schizophrenia</t>
  </si>
  <si>
    <t>Schizophrenia | Smoking Cessation | Tobacco Use</t>
  </si>
  <si>
    <t>Suicide | Schizophrenia | Bipolar Disorder | Post Traumatic Stress Disorder | Major Depressive Disorder</t>
  </si>
  <si>
    <t>Schizophrenia | Healthy</t>
  </si>
  <si>
    <t>Stroke | Traumatic Brain Injury | Schizophrenia</t>
  </si>
  <si>
    <t>Schizophrenia | Treatment Resistant Depression | Aging | Premature</t>
  </si>
  <si>
    <t>Schizophrenia | Schizoaffective Disorder | Bipolar Disorder | Major Depressive Disorder | Tardive Dyskinesia</t>
  </si>
  <si>
    <t>Schizophrenia | Schizophreniform Disorder | Schizoaffective Disorder</t>
  </si>
  <si>
    <t>Schizophrenia | Neuronal Plasticity | Exercise</t>
  </si>
  <si>
    <t>Psychotic Disorders | Schizophrenia | Schizo Affective Disorder</t>
  </si>
  <si>
    <t>Schizophrenia | Physical Activity | Telomere Shortening | Premature Aging</t>
  </si>
  <si>
    <t>Schizophrenia | Schizophreniform Disorders | Schizoaffective Disorder | Unspecified Or Other Psychotic Disorders</t>
  </si>
  <si>
    <t>Bipolar Disorder | Schizophrenia | Agitation Psychomotor | Schizo Affective Disorder | Schizophreniform Disorders</t>
  </si>
  <si>
    <t>Obesity | Schizophrenia</t>
  </si>
  <si>
    <t>Psychotic Disorders | Autism Spectrum Disorder | Major Depressive Disorder | Schizophrenia</t>
  </si>
  <si>
    <t>Psychosis | Schizophrenia | Schizoaffective Disorder | Psychosis Nos/other | Bipolar Disorder</t>
  </si>
  <si>
    <t>Schizophrenia Agitation | Schizo Affective Disorder | Bipolar Disorder | Dexmedetomidine</t>
  </si>
  <si>
    <t>Schizophrenia | Schizoaffective Disorder | Bipolar Disorder I | Psychosis</t>
  </si>
  <si>
    <t>Schizophrenia | Schizo Affective Disorder | Schizophreniform Disorders | Psychosis Nos/other</t>
  </si>
  <si>
    <t>Schizophrenia | Hallucinations</t>
  </si>
  <si>
    <t>Cognitive Dysfunction | Schizophrenia</t>
  </si>
  <si>
    <t>Schizophrenia | Schizophreniform Disorders</t>
  </si>
  <si>
    <t>Severe Mental Disorder | Schizophrenia | Bipolar Disorder | Anxiety</t>
  </si>
  <si>
    <t>Major Depressive Disorder | Schizo Affective Disorder | Schizophrenia | Bipolar Disorder</t>
  </si>
  <si>
    <t>Mental Disorder | Schizophrenia | Major Depressive Disorder | Bipolar I Disorder</t>
  </si>
  <si>
    <t>Type 2 Diabetes Mellitus | Serious Mental Illness | Schizophrenia | Major Depression | Bipolar Disorder</t>
  </si>
  <si>
    <t>Schizophrenia | Nicotine Dependence</t>
  </si>
  <si>
    <t>Depressive Disorder | Schizophrenia | Healthy Control</t>
  </si>
  <si>
    <t>Schizophrenia | Treatment Resistant Schizophrenia</t>
  </si>
  <si>
    <t>Schizophrenia | Bipolar Disorder | Anosognosia</t>
  </si>
  <si>
    <t>Schizophrenia | Cognitive Impairment</t>
  </si>
  <si>
    <t>Schizophrenia Or Schizoaffective Disorder</t>
  </si>
  <si>
    <t>https://center6.umin.ac.jp/cgi-open-bin/ctr_e//ctr_view.cgi?recptno=R000062009</t>
  </si>
  <si>
    <t>jRCT1030210514 - Development and exploration of an AI model to classify healthy subject and suspected schizophrenia patient based on free conversations with medical staff</t>
  </si>
  <si>
    <t>jRCT1030220320 - Development and exploration of an AI model to classify schizophrenia with signs of relapse and schizophrenia with no signs of relapse based on free conversations with medical staff</t>
  </si>
  <si>
    <t>NCT04141540 - Translational 22q11.2:Molecular Variants Associated With Schizophrenia: Differential Analysis of Monozygotic Twins With Variable Phenotypic 22q11.2 Microdeletional Syndrom</t>
  </si>
  <si>
    <t>NCT04312503 - Observational Study on the Effect of Switch to Lurasidone or Other Antipsychothics on Metabolic and Weight Changes in Subjects With Schizophrenia</t>
  </si>
  <si>
    <t>NCT04478838 - Re-examining Maintenance Antipsychotic Treatment in Schizophrenia: Extended Antipsychotic Dosing</t>
  </si>
  <si>
    <t>NCT05995457 - Efficacy of the Combination of Z-track and Airlock Techniques During Intramuscular Injection of Haloperidol Decanoate in Adult Patients With Schizophrenic or Related Disorder : A Multicenter Randomized Controlled Trial</t>
  </si>
  <si>
    <t>PMID: 31463563 - What happens with schizophrenia patients after their discharge from hospital? Results on outcome and treatment from a real-world 2-year follow-up trial</t>
  </si>
  <si>
    <t>PMID: 31762390 - Negative symptom configuration in first episode Schizophrenia: findings from the Parma Early Psychosis program</t>
  </si>
  <si>
    <t>https://public4.pagefreezer.com/content/FDA/28-07-2023T13:45/https://www.fda.gov/about-fda/center-drug-evaluation-and-research-cder/office-biotechnology-products</t>
  </si>
  <si>
    <t>Congress</t>
  </si>
  <si>
    <t>https://www.icp2020.com/</t>
  </si>
  <si>
    <t>Czech-Moravian Psychological Society</t>
  </si>
  <si>
    <t>https://icp2024.com/scientific-programme/</t>
  </si>
  <si>
    <t>Discourse In Psychosis</t>
  </si>
  <si>
    <t>https://discourseinpsychosis.org/wp-content/uploads/2024/03/Discourse_meeting_programme-1.pdf</t>
  </si>
  <si>
    <t>https://discourseinpsychosis.org/wp-content/uploads/2024/05/Discourse-Meeting-Program-May-2023.pdf</t>
  </si>
  <si>
    <t>European Association for Integrative Psychotherapy</t>
  </si>
  <si>
    <t>https://mentalacademy.ge/en/eaip-conference-4/?v=f803729628ad</t>
  </si>
  <si>
    <t>https://eaipathens.eu/wordpress/wp-content/uploads/Programme_final.pdf</t>
  </si>
  <si>
    <t>European Network for Positive Psychology</t>
  </si>
  <si>
    <t>International Association for Child and Adolescent Psychiatry and Allied Professions</t>
  </si>
  <si>
    <t>https://www.iacapap2024.com/ingles/programacao/index_track_cronologico.php#topo</t>
  </si>
  <si>
    <t>https://www.iacapap2022.com/program</t>
  </si>
  <si>
    <t>https://iacapap2020.org/programme-overview/</t>
  </si>
  <si>
    <t>International Association for Group Psychotherapy and Group Processes</t>
  </si>
  <si>
    <t>https://www.iagp.com/wp-content/uploads/2024/06/7th-IAGP-reg-conf-2024-Tunis.pdf</t>
  </si>
  <si>
    <t>https://cbpfebrap.febrap.org.br/palestrantes-convidados/</t>
  </si>
  <si>
    <t>https://www.iagp.com/conferences/</t>
  </si>
  <si>
    <t>International Association for Psychoanalytic Self Psychology</t>
  </si>
  <si>
    <t>https://iapsp.org/wp-content/uploads/2024/08/IAPSP-2024-Rome-Conference-Brochure.pdf</t>
  </si>
  <si>
    <t>https://iapsp.org/wp-content/uploads/2023/10/IAPSP-Annual-Conference-Chicago-2023.pdf</t>
  </si>
  <si>
    <t>https://iapsp.org/wp-content/uploads/2022/09/IAPSP-2022-CONFERENCE-BROCHURE.pdf</t>
  </si>
  <si>
    <t>International Association for Relational Psychoanalysis and Psychotherapy</t>
  </si>
  <si>
    <t>https://iarpp.net/thesite/wp-content/uploads/2024/02/IARPP-2024-Conference-FINAL-UPDATED-2.pdf</t>
  </si>
  <si>
    <t>https://iarpp.net/thesite/wp-content/uploads/2022/08/Valencia_Brochure_V7June10.pdf</t>
  </si>
  <si>
    <t>https://iarpp.net/thesite/wp-content/uploads/2020/02/IARPP-2020-Conference-Brochure-FINAL-0032_28.pdf</t>
  </si>
  <si>
    <t>https://iarpp.ce-go.com/iarppsymposium2021/agenda</t>
  </si>
  <si>
    <t>https://ucarecdn.com/89789383-19ba-4ada-ae6d-5482a8fa5a02/iarpp-2-symposium-2021-ita.pdf</t>
  </si>
  <si>
    <t>International Association for Women's Mental Health</t>
  </si>
  <si>
    <t>https://myemail-api.constantcontact.com/Welcome-to-the--9th-World-Congress-on-Women-s-Mental-Health.html?soid=1102782902506&amp;aid=V6D0CgmQnV0</t>
  </si>
  <si>
    <t>International Behavioral Neuroscience Society</t>
  </si>
  <si>
    <t>https://ibns.memberclicks.net/faqs-2021</t>
  </si>
  <si>
    <t>https://www.fens.org/news-activities/fens-and-societies-calendar/meeting-event/international-behavioral-neuroscience-society-ibns</t>
  </si>
  <si>
    <t>International College of Neuropsychopharmacology (CINP)</t>
  </si>
  <si>
    <t>https://cinp2024.org/wp-content/themes/CINP/file/CINP2024_Pocket%20Programs_v3.pdf</t>
  </si>
  <si>
    <t>https://www.youtube.com/watch?v=NlcnKt--e-Q</t>
  </si>
  <si>
    <t>https://www.youtube.com/watch?v=-0DggBk-0mQ&amp;list=PLYqBT0WyWbMkNi0dm6lAnXD2_ck4EAdys</t>
  </si>
  <si>
    <t>International Council of Psychologists</t>
  </si>
  <si>
    <t>https://www.conftool.org/icp2024/sessions.php</t>
  </si>
  <si>
    <t>https://icpweb.org/icp-annual-conference/icp2022-programoverview/</t>
  </si>
  <si>
    <t>https://icpweb.org/icp-annual-conference/icp2021-online/</t>
  </si>
  <si>
    <t>https://icpweb.org/icp-annual-conference/icp2020-virtualonline/#opening</t>
  </si>
  <si>
    <t>International Early Psychosis Association</t>
  </si>
  <si>
    <t>https://organizers-congress.org/frontend/index.php?page_id=9496&amp;v=List</t>
  </si>
  <si>
    <t>https://www.iepaconference.org/iepa12/program-at-a-glance/</t>
  </si>
  <si>
    <t>International Neuropsychiatric Association</t>
  </si>
  <si>
    <t>https://airdrive.eventsair.com/eventsairaueprod/production-waldronsmith-public/2ac1c2c9b56c4e869a3ab67dba0cbc75</t>
  </si>
  <si>
    <t>https://inawebsite.org/faculty-of-neuropsychiatry-annual-conference-2022/</t>
  </si>
  <si>
    <t>International Neuropsychological Society</t>
  </si>
  <si>
    <t>https://the-ins.org/wp-content/uploads/2024/02/Program-book-NYC2024.pdf</t>
  </si>
  <si>
    <t>https://the-ins.org/wp-content/uploads/2024/07/program-book-taiwan-2023-web.pdf</t>
  </si>
  <si>
    <t>https://the-ins.org/files/meetings/sandiego2023/program-book/San_Diego_2023-program_book.pdf</t>
  </si>
  <si>
    <t>https://the-ins.org/files/meetings/barcelona2022/program_book/PROGRAMA_FINAL_INS_2022.pdf</t>
  </si>
  <si>
    <t>https://the-ins.org/files/meetings/nola2022/program_book/NOLA%202022%20Oxford%20Abstracts%20Program_Final.pdf</t>
  </si>
  <si>
    <t>https://the-ins.org/files/meetings/melbourne2021/program_book/Final_Program_2021_S2.pdf</t>
  </si>
  <si>
    <t>https://the-ins.org/files/meetings/sandiego2021/program_book/sandiego2021-program_book.pdf</t>
  </si>
  <si>
    <t>https://www.cambridge.org/core/services/aop-cambridge-core/content/view/3BCBDBE82517B794069DC05136381104/S1355617721000953a.pdf/final_program_2020_virtual_event_international_neuropsychological_society_july_12_2020.pdf</t>
  </si>
  <si>
    <t>https://the-ins.org/wp-content/uploads/2024/07/denver_2020_program_book_online.pdf</t>
  </si>
  <si>
    <t>International Neuropsychological Society | Australasian Society for the Study of Brain Impairment (ASSBI) | Federation of European Societies of Neuropsychology (FESN) | Sociedad Latinoamericana de Neuropsicologia</t>
  </si>
  <si>
    <t>https://www.globalneuropsychology.org/program/final-program</t>
  </si>
  <si>
    <t>International Psychoanalytic Association</t>
  </si>
  <si>
    <t>https://www.ipa.world/IPA/en/news_and_events/Congress_programme.aspx</t>
  </si>
  <si>
    <t>International Society for Behavioural Neuroscience</t>
  </si>
  <si>
    <t>https://isbngroup.net/annual-meeting</t>
  </si>
  <si>
    <t>https://isbngroup.net/2023-hamburg-germany</t>
  </si>
  <si>
    <t>https://isbngroup.net/2022-stjohns</t>
  </si>
  <si>
    <t>https://isbngroup.net/2021-virtual-meeting</t>
  </si>
  <si>
    <t>International Society for Psychological and Social Approaches to Psychosis</t>
  </si>
  <si>
    <t>https://confedent.eventsair.com/isps-2024/parallel-session-programme</t>
  </si>
  <si>
    <t>https://static.emedevents.com/uploads/conferences/session_brochure/846c77c5e5648cc16f1bd3208f8fe75d.pdf</t>
  </si>
  <si>
    <t>International Society of Psychiatric-Mental Health Nurses</t>
  </si>
  <si>
    <t>https://www.ispn-psych.org/assets/2024_Conference/2024%20Final%20Program%20v8.pdf</t>
  </si>
  <si>
    <t>https://www.ispn-psych.org/assets/2023_Conference/2023%20Final%20Program%20v9.pdf</t>
  </si>
  <si>
    <t>https://www.ispn-psych.org/assets/2022_Conference/ISPN_2022_Final%20Program_L.pdf</t>
  </si>
  <si>
    <t>https://www.ispn-psych.org/assets/2021_Conference/ISPN_2021_Final_Program_I.pdf</t>
  </si>
  <si>
    <t>https://www.ispn-psych.org/assets/docs/2020annualmeeting/ISPN_2020_Virtual_Program_B.pdf</t>
  </si>
  <si>
    <t>Schizophrenia International Research Society</t>
  </si>
  <si>
    <t>https://pmg.joynadmin.org/documents/1007/66048e8413957e42da466f42.pdf</t>
  </si>
  <si>
    <t>https://schizophreniaresearchsociety.org/wp-content/uploads/2022/09/2023-Corporate-Support-Brochure.pdf</t>
  </si>
  <si>
    <t>https://schizophreniaresearchsociety.org/wp-content/uploads/2021/08/2022-SIRS-Prospectus-Final.pdf</t>
  </si>
  <si>
    <t>https://schizophreniaresearchsociety.org/wp-content/uploads/2020/10/2021-SIRS-Prospectus-FINAL.pdf</t>
  </si>
  <si>
    <t>https://schizophreniaresearchsociety.org/wp-content/uploads/2019/06/Attachment-1-SIRS-Supporting-Corporation-Brochure-2020.pdf</t>
  </si>
  <si>
    <t>Schizophrenia Research Foundation</t>
  </si>
  <si>
    <t>https://www.iconsofscarf.org/conference-program.html</t>
  </si>
  <si>
    <t>https://www.iconsofscarf.org/pdf/icons-2022-tenth-edition.pdf</t>
  </si>
  <si>
    <t>https://www.iconsofscarf.org/2021iconsofscarf.html</t>
  </si>
  <si>
    <t>Society for Neuroscience</t>
  </si>
  <si>
    <t>World Association for Person-Centered and Experiential Psychotherapy and Counseling</t>
  </si>
  <si>
    <t>https://www.pce2024.com/</t>
  </si>
  <si>
    <t>https://www.pce2022.com/wp-content/uploads/PCE2022-Conference-Book-220629C-opti.pdf</t>
  </si>
  <si>
    <t>https://www.pce-world.org/events/pce-conferences/14th-pce-conference.html</t>
  </si>
  <si>
    <t>World Association for Psychosocial Rehabilitation</t>
  </si>
  <si>
    <t>https://www.casw-acts.ca/en/xv-world-congress-world-association-psychosocial-rehabilitation-wapr-canadian-psr-conference</t>
  </si>
  <si>
    <t>https://archive.menaconference.com/mena_conference_gallery/WAPR_CONFERENCE_2021_Brochure_pdf_23Oct2021123457.pdf</t>
  </si>
  <si>
    <t>World Council for Psychotherapy</t>
  </si>
  <si>
    <t>https://en.planetofpsychotherapy.com/program/scientific-program.html</t>
  </si>
  <si>
    <t>https://pmg.joynadmin.org/documents/1064/665a753c9a5a51007270f212.pdf</t>
  </si>
  <si>
    <t>https://iabp.org.in/images/brochure/brochure.pdf</t>
  </si>
  <si>
    <t>World Psychiatric Association</t>
  </si>
  <si>
    <t>https://cslide.ctimeetingtech.com/wcp24/attendee</t>
  </si>
  <si>
    <t>https://wcp-congress.com/wp-content/uploads/sites/22/2023/09/WCP-23-program-at-a-glance-3.pdf</t>
  </si>
  <si>
    <t>https://cslide.ctimeetingtech.com/wcp22/attendee/confcal/session/calendar?r=d%7E1_2_3_4</t>
  </si>
  <si>
    <t>International Organization of Physical Therapists in Mental Health</t>
  </si>
  <si>
    <t>https://congresoioptmh.godaddysites.com/program</t>
  </si>
  <si>
    <t>https://www.ioptmh2022.com/live-streaming/</t>
  </si>
  <si>
    <t>https://www.csp.org.uk/system/files/documents/2022-11/abstract_book_icpppmh_2020.pdf</t>
  </si>
  <si>
    <t>American Academy of Clinical Psychology</t>
  </si>
  <si>
    <t>https://heyzine.com/flip-book/70b8901841.html#page/1</t>
  </si>
  <si>
    <t>Association for Contextual Behavioral Science</t>
  </si>
  <si>
    <t>https://contextualscience.org/sites/default/files/2024-07/WC2024%20Program%20-%20English%20-%207.10.pdf</t>
  </si>
  <si>
    <t>https://contextualscience.org/sites/default/files/WC2023%20Program_0.pdf</t>
  </si>
  <si>
    <t>https://contextualscience.org/sites/default/files/In-Person%20Final%20Program%205.25_0.pdf</t>
  </si>
  <si>
    <t>https://contextualscience.org/sites/default/files/Brief%20Schedule%206.9_0.pdf</t>
  </si>
  <si>
    <t>https://contextualscience.org/sites/default/files/WC%20online%20Formatted%20Brief%20Schedule%20with%20networking.pdf</t>
  </si>
  <si>
    <t>Association for Psychological Science</t>
  </si>
  <si>
    <t>https://www.ibnsconnect.org/ibns-2023-niagara-falls-canada</t>
  </si>
  <si>
    <t>https://www.ibnsconnect.org/ibns-2022-annual-meeting-glasgow--scotland</t>
  </si>
  <si>
    <t>https://view.flipdocs.com/?ID=10026226_544111#</t>
  </si>
  <si>
    <t>https://www.sfn.org/-/media/SfN/Documents/NEW-SfN/Meetings/Neuroscience-2023/General-Info-and-At-the-Meeting/Program-and-Exhibit-Guide-2023.pdf</t>
  </si>
  <si>
    <t>https://www.sfn.org/-/media/SfN/Documents/NEW-SfN/Meetings/Neuroscience-2022/Sessions-and-Events/2022_Program-and-Exhibit-Guide.pdf</t>
  </si>
  <si>
    <t>https://www.sfn.org/meetings/neuroscience-2021</t>
  </si>
  <si>
    <t>Asian Federation of Psychiatric Associations (AFPA)</t>
  </si>
  <si>
    <t>https://www.afpa.asia/pdf/10thWCAP_March31.pdf</t>
  </si>
  <si>
    <t>https://www.afpa.asia/pdf/WCAP2022.pdf</t>
  </si>
  <si>
    <t>https://www.afpa.asia/pdf/8th_WCAP_2021.pdf</t>
  </si>
  <si>
    <t>European Academy of Neurology</t>
  </si>
  <si>
    <t>https://www.ean.org/congress2022</t>
  </si>
  <si>
    <t>https://www.ean.org/congress2021</t>
  </si>
  <si>
    <t>https://www.ean.org/congress-2020/discover/digital-congress/scientific-programme</t>
  </si>
  <si>
    <t>European Association of Clinical Psychology and Psychological Treatment</t>
  </si>
  <si>
    <t>https://www.centreforurbanmentalhealth.com/umh-eaclipt-conference-2024</t>
  </si>
  <si>
    <t>https://www.eaclipt.org/post/eaclipt2024-deadline-extended</t>
  </si>
  <si>
    <t>https://english.swps.pl/we-the-university/our-news-and-events/conferences-and-seminars/eaclipt-conference-clinical-psychology-now/program/program</t>
  </si>
  <si>
    <t>https://www.eaclipt.org/post/eaclipt-update-may-2021</t>
  </si>
  <si>
    <t>https://www.ecnp.eu/congress2024/ECNPcongress/programme/programme#!sessionschedule</t>
  </si>
  <si>
    <t>https://www.ecnp.eu/about-ecnp/history/past-ecnp-meetings/past-congresses/barcelona2023/programme#!sessionschedule</t>
  </si>
  <si>
    <t>https://www.ecnp.eu/about-ecnp/history/past-ecnp-meetings/past-congresses/vienna2022/programme#!sessionschedule</t>
  </si>
  <si>
    <t>https://www.ecnp.eu/about-ecnp/history/past-ecnp-meetings/past-congresses/lisbon2021/Programme#!sessionschedule</t>
  </si>
  <si>
    <t>https://www.ecnp.eu/about-ecnp/history/past-ecnp-meetings/past-congresses/virtual-2020/Programme#!sessionschedule</t>
  </si>
  <si>
    <t>European Federation for Psychoanalytic Psychotherapy</t>
  </si>
  <si>
    <t>https://efpp-conference2024.com/schedule-i/</t>
  </si>
  <si>
    <t>European Federation of Psychologists' Associations</t>
  </si>
  <si>
    <t>https://ecp2023.eu/wp-content/uploads/2023/07/ECP-2023-Scientific-Programme-v15.pdf</t>
  </si>
  <si>
    <t>https://www.emedevents.com/c/medical-conferences-2022/17th-european-congress-of-psychology</t>
  </si>
  <si>
    <t>European Health Psychology Society</t>
  </si>
  <si>
    <t>https://2024.ehps.net/wp-content/uploads/2024/08/ehps24_final_program_02_august.pdf</t>
  </si>
  <si>
    <t>https://2023.ehps.net/wp-content/uploads/2023/09/ehps23_final_programme_05_09.pdf</t>
  </si>
  <si>
    <t>https://2022.ehps.net/wp-content/uploads/2022/08/EHPS_2022_SimpleProgram_24.08.2022_13.47.pdf</t>
  </si>
  <si>
    <t>https://2021.ehps.net/wp-content/uploads/2021/07/ehps21_full_programme.pdf</t>
  </si>
  <si>
    <t>https://www.psyssa.com/34th-annual-conference-of-the-european-health-psych/</t>
  </si>
  <si>
    <t>https://www.ecpp2024.com/conference-shedule/</t>
  </si>
  <si>
    <t>https://ecpp2020.com/ecpp/</t>
  </si>
  <si>
    <t>https://2024.epa-congress.org/programme/scientific-programme/</t>
  </si>
  <si>
    <t>https://b-com.mci-group.com/CommunityPortal/ProgressivePortal/EPA2023/App/Views/InformationPage/View.aspx?InformationPageID=17291</t>
  </si>
  <si>
    <t>https://cslide.ctimeetingtech.com/epa22/attendee/confcal/session/calendar/2022-06-03</t>
  </si>
  <si>
    <t>https://cslide.ctimeetingtech.com/epa21/attendee/confcal</t>
  </si>
  <si>
    <t>https://www.europsy.net/app/uploads/2021/01/2020-List-of-ECP-Sessions.pdf</t>
  </si>
  <si>
    <t>European Scientific Association on Schizophrenia and other Psychoses</t>
  </si>
  <si>
    <t>https://www.schizophrenianet.eu/scientific-programme/final-programme.html</t>
  </si>
  <si>
    <t>https://www.schizophrenianet.eu/_Resources/Persistent/3f0144ede85e3ef98ab46ebb14406fd474aff4cb/WebFlyerECSR2021.pdf</t>
  </si>
  <si>
    <t>Federation of European Neuroscience Societies (FENS)</t>
  </si>
  <si>
    <t>https://fens2024.abstractserver.com/program/#/program/1/list</t>
  </si>
  <si>
    <t>https://fensforum.org/wp-content/uploads/2022/07/FENS22-Programme-at-a-glance-1.pdf</t>
  </si>
  <si>
    <t>https://forum2020.fens.org/wp-content/uploads/sites/51/2020/07/913657_FENS2020_PROGRAMME-AT-A-GLANCE.pdf</t>
  </si>
  <si>
    <t>Federation of the European Societies of Neuropsychology</t>
  </si>
  <si>
    <t>https://fesn-hnps2023.gr/wp-content/uploads/2023/09/FESN2023_Agenda_booklet_A4_Preview_new.pdf</t>
  </si>
  <si>
    <t>Canadian Psychological Association</t>
  </si>
  <si>
    <t>https://cpa.ca/docs/File/Convention/2024/CPA%202024%20Event%20-%20Convention%20Guide_WEB.pdf</t>
  </si>
  <si>
    <t>https://cpa.ca/docs/File/Convention/2023/CPA%20Event%20Convention%20Guide%202023_FINAL.pdf</t>
  </si>
  <si>
    <t>https://cpa.ca/docs/File/Convention/2022/CPA%20Convention%20Guide%202022_FINAL.pdf</t>
  </si>
  <si>
    <t>https://cpa.ca/docs/File/Convention/2021/CPA%202021%20Annual%20National%20Convention%20Prospectus.pdf</t>
  </si>
  <si>
    <t>Canadian Academy of Child and Adolescent Psychiatry</t>
  </si>
  <si>
    <t>https://www.cacap-acpea.org/wp-content/uploads/CACAP2024_Conference-Program_v6.pdf</t>
  </si>
  <si>
    <t>https://az659834.vo.msecnd.net/eventsaircaneprod/production-uottawacpd-public/403c2b9c41a64133b885ea26b7723b78</t>
  </si>
  <si>
    <t>https://iacapap.org/news/41st-annual-cacap-conference.html</t>
  </si>
  <si>
    <t>https://az659834.vo.msecnd.net/eventsaircaneprod/production-uottawacpd-public/baee34b853fa402298607e2af64ea525</t>
  </si>
  <si>
    <t>https://www.cagp.ca/2024-Program</t>
  </si>
  <si>
    <t>https://www.cagp.ca/2023-Program</t>
  </si>
  <si>
    <t>https://www.cagp.ca/2022-Program</t>
  </si>
  <si>
    <t>https://www.cagp.ca/2021-ASM-Program/</t>
  </si>
  <si>
    <t>https://www.cagp.ca/2020-ASM-program</t>
  </si>
  <si>
    <t>Canadian Association for Neuroscience</t>
  </si>
  <si>
    <t>https://can-acn.org/meeting-2024/program/</t>
  </si>
  <si>
    <t>https://can-acn.org/meeting-2023/2023-program/</t>
  </si>
  <si>
    <t>https://can-acn.org/meeting-2022/program-2022/</t>
  </si>
  <si>
    <t>https://can-acn.org/meeting-2021/program-2021/</t>
  </si>
  <si>
    <t>Canadian Neurological Sciences Federation</t>
  </si>
  <si>
    <t>https://2024cnsfcongress.eventscribe.net/SearchByBucket.asp?f=CustomPresfield4&amp;bm=Scientific%20Session&amp;pfp=BrowsebyBucket</t>
  </si>
  <si>
    <t>https://eventscribe.net/2023/cnsfcongress/SearchByBucket.asp?f=CustomPresfield4&amp;bm=Scientific%20Session&amp;pfp=BrowsebyBucket</t>
  </si>
  <si>
    <t>https://neuromuscularnetwork.ca/event/2022-cnsf-congress/</t>
  </si>
  <si>
    <t>https://www.cpa-apc.org/schedule/</t>
  </si>
  <si>
    <t>https://www.cpa-apc.org/cpa-virtual-conference-october-23-24-2020/#program</t>
  </si>
  <si>
    <t>French Federation of Psychiatry</t>
  </si>
  <si>
    <t>https://fedepsychiatrie.fr/wp-content/uploads/2023/04/Fedepsy-Programme-Bulletin-25mai2023-V11.pdf</t>
  </si>
  <si>
    <t>https://www.affep.fr/4e-journees-de-psychiatrie-adulte-de-la-federation-francaise-de-psychiatrie/</t>
  </si>
  <si>
    <t>https://fedepsychiatrie.fr/wp-content/uploads/2021/02/Programme3e%CC%80mejourne%CC%81ePsyAdulte2021V9-2.pdf</t>
  </si>
  <si>
    <t>French Society of Child and Adolescent Psychiatry (SFPEADA)</t>
  </si>
  <si>
    <t>https://congres.sfpeada.fr/page/journees</t>
  </si>
  <si>
    <t>https://sfpeada.fr/congres-sfpeada-2023-toutes-les-informations/</t>
  </si>
  <si>
    <t>https://sfpeada.fr/congres-de-la-sfpeada-2022/</t>
  </si>
  <si>
    <t>Italian Society of Psychiatry (SIP)</t>
  </si>
  <si>
    <t>https://psichiatria.it/evento/xxvii-congresso-nazionale-di-psichiatria-forense/</t>
  </si>
  <si>
    <t>https://web.unica.it/unica/protected/409792/0/def/ref/AVS409791/</t>
  </si>
  <si>
    <t>https://sipforense.it/wp-content/uploads/2024/02/PROGRAMMA-SIPF_2022.pdf</t>
  </si>
  <si>
    <t>https://psichiatria.it/evento/49-congresso-nazionale-sip/</t>
  </si>
  <si>
    <t>https://www.aousassari.it/documenti/11_45_20210521115617.pdf</t>
  </si>
  <si>
    <t>https://sipforense.it/wp-content/uploads/2024/02/Programma-SIPF-2020.pdf</t>
  </si>
  <si>
    <t>ProFamille</t>
  </si>
  <si>
    <t>https://profamille.site/congres-annuel-profamille-a-nice/</t>
  </si>
  <si>
    <t>European Society for Child and Adolescent Psychiatry</t>
  </si>
  <si>
    <t>https://www.escap.eu/events/escap-2023-congress-in-copenhagen</t>
  </si>
  <si>
    <t>https://www.escap.eu/uploads/Events/Maastricht%202021/escap-2022-programme-accreditation-version.pdf</t>
  </si>
  <si>
    <t>https://www.dgppnkongress.de/dgppn/dgppn2024/de-DE/search</t>
  </si>
  <si>
    <t>German Society for Child and Adolescent Psychiatry, Psychosomatics and Psychotherapy</t>
  </si>
  <si>
    <t>https://www.dgkjp-kongress.de/programm/online-programm.html</t>
  </si>
  <si>
    <t>https://www.dgkjp-kongress.de/_Resources/Persistent/79e939c91d8459e5b103bfcf23fb99df2f96e7c5/FlippingBook.pdf</t>
  </si>
  <si>
    <t>https://www.uni-hildesheim.de/dgps2022/wp-content/uploads/2022/09/52._DGPs-Kongress_2022_Programm_Stand20220915_kl.pdf</t>
  </si>
  <si>
    <t>The German Neurological Society (DGN)</t>
  </si>
  <si>
    <t>https://dnvp9c1uo2095.cloudfront.net/cms-content/DGN_Kongress-2024_Vorprogramm_WEB_1719227748211.pdf</t>
  </si>
  <si>
    <t>https://www.dgnvirtualmeeting.org/dgn/dgn2023/de-DE/search</t>
  </si>
  <si>
    <t>https://dmkg.de/startseite/veranstaltungen-allgemein/events/dgn-kongress95-2022</t>
  </si>
  <si>
    <t>https://www.journalmed.de/veranstaltungen/details/94_dgn_kongress_2021</t>
  </si>
  <si>
    <t>https://g.allm.net/events/93-kongress-der-deutschen-gesellschaft-fur-neurologie/</t>
  </si>
  <si>
    <t>International Society for Psychological and Social Approaches to Psychosis Italy (ISPS Italy)</t>
  </si>
  <si>
    <t>https://www.claudiabartocci.it/blog/2024/04/17/isps-italia-vii-convegno-nazionale/</t>
  </si>
  <si>
    <t>https://www.istitutogaetanobenedetti.eu/wp-content/uploads/2020/10/Congresso-Nazionale-ISPS-23-e-24-Ottobre-2020.pdf</t>
  </si>
  <si>
    <t>Italian Association for Prevention and Early Intervention in Mental Health (AIPP)</t>
  </si>
  <si>
    <t>https://www.aipp-italia.com/wp-content/uploads/2023/09/IX-Congresso-AIPP2023BARI_PRG.pdf</t>
  </si>
  <si>
    <t>https://www.aipp-italia.com/wp-content/uploads/2021/09/VIII-CONGRESSO-AIPP-2021_PROGRAMMA.pdf</t>
  </si>
  <si>
    <t>Italian Association of Psychology</t>
  </si>
  <si>
    <t>https://aipass.org/eventi/xviii-congresso-nazionale-della-sezione-di-psicologia-sociale-dellaip/</t>
  </si>
  <si>
    <t>https://aipass.org/xvii-congresso-nazionale-della-sezione-di-psicologia-sociale-dellaip/</t>
  </si>
  <si>
    <t>Italian Society of Child and Adolescent Neuropsychiatry (SINPIA)</t>
  </si>
  <si>
    <t>https://static1.squarespace.com/static/615473db7c95755fa2010965/t/66b4a9f57252903ac84cc198/1723116025802/SINPIA+PROGRAMMA+PRELIMINARE+-+update+08.08.24.pdf</t>
  </si>
  <si>
    <t>https://sinpia.eu/wp-content/uploads/2022/09/SINPIA-2021-PROGRAMMA.pdf</t>
  </si>
  <si>
    <t>Italian Society of Neurology</t>
  </si>
  <si>
    <t>https://www.neuro.it/web/procedure/dati_congresso.cfm?List=WsId&amp;c1=12876</t>
  </si>
  <si>
    <t>https://www.neuro.it/web/procedure/dati_congresso.cfm?List=WsId&amp;c1=12681</t>
  </si>
  <si>
    <t>https://www.sinsec.it/wp-content/uploads/2022/10/12530_SINMilano2022rev4agg26102022.pdf</t>
  </si>
  <si>
    <t>https://congressonazionalesin.it/wp-content/uploads/2020/11/SIN-Milano-V.E-DEFINITIVO-completo-agg.-26.11.2020.pdf</t>
  </si>
  <si>
    <t>Japan Psychiatric Hospitals Association (JPA)</t>
  </si>
  <si>
    <t>https://www.congre.co.jp/japh13/program/index.html</t>
  </si>
  <si>
    <t>https://www.c-linkage.co.jp/japh12/program.html</t>
  </si>
  <si>
    <t>https://www.nisseikyo.or.jp/news/topic/detail.php?@DB_ID@=602</t>
  </si>
  <si>
    <t>https://www.nisseikyo.or.jp/news/topic/detail.php?@DB_ID@=588</t>
  </si>
  <si>
    <t>Japanese Association for Behavioral and Cognitive Therapies</t>
  </si>
  <si>
    <t>https://cs-oto3.com/jabct2024/program.html</t>
  </si>
  <si>
    <t>https://cs-oto3.com/jabct2023/program.html</t>
  </si>
  <si>
    <t>https://cs-oto3.com/jabct2022/program.html</t>
  </si>
  <si>
    <t>https://www.m-messe.co.jp/event/detail/6670</t>
  </si>
  <si>
    <t>https://www.cs-oto.com/jabct2020/index.html</t>
  </si>
  <si>
    <t>Japanese Association of Neuro-Psychiatric Clinic</t>
  </si>
  <si>
    <t>https://convention.jtbcom.co.jp/jspc2024/program/index.html</t>
  </si>
  <si>
    <t>Japanese Society of Biological Psychiatry (JSBP)</t>
  </si>
  <si>
    <t>https://neuro2024.jnss.org/program.html</t>
  </si>
  <si>
    <t>https://www.okinawa-congre.co.jp/jsbp2023/files/program.pdf</t>
  </si>
  <si>
    <t>http://bpcnpnppp2022.umin.jp/program.html</t>
  </si>
  <si>
    <t>https://www2.aeplan.co.jp/bpnp2021/program.html</t>
  </si>
  <si>
    <t>https://www.c-linkage.co.jp/jscnp2023/program.html</t>
  </si>
  <si>
    <t>https://www2.aeplan.co.jp/jscnp2021/program.html</t>
  </si>
  <si>
    <t>Japanese Society of Neurology</t>
  </si>
  <si>
    <t>https://www.neurology-jp.org/neuro2024/aocn2024/program/download.html</t>
  </si>
  <si>
    <t>https://www.neurology-jp.org/neuro2023/en/program/download.html</t>
  </si>
  <si>
    <t>https://www.neurology-jp.org/neuro2022/en/program/download.html</t>
  </si>
  <si>
    <t>https://www.neurology-jp.org/neuro2021/en/program/download.html</t>
  </si>
  <si>
    <t>https://www.neurology-jp.org/neuro2020/en/program/download.html</t>
  </si>
  <si>
    <t>Japanese Society of Schizophrenia Research</t>
  </si>
  <si>
    <t>https://med-gakkai.jp/jssr18/pro/</t>
  </si>
  <si>
    <t>https://jssr17.camphor.jp/schedule/</t>
  </si>
  <si>
    <t>https://jssr16.camphor.jp/outline/</t>
  </si>
  <si>
    <t>https://www.c-linkage.co.jp/jssr15/program/</t>
  </si>
  <si>
    <t>National Federation of Mental Health and Welfare Associations (Minna Net)</t>
  </si>
  <si>
    <t>https://seishinhoken.jp/files/events__contents__doc/src/01j285xq9b6qsnfa1hm0y867nk.pdf</t>
  </si>
  <si>
    <t>https://irumakikansoudan.hatenablog.jp/entry/2023/09/15/</t>
  </si>
  <si>
    <t>https://seishinhoken.jp/events/01gbcshvyr8gprw72qyv1t7bce</t>
  </si>
  <si>
    <t>Neuropsychology Association of Japan</t>
  </si>
  <si>
    <t>https://naj48.jp/pdf/timetable.pdf</t>
  </si>
  <si>
    <t>https://med-gakkai.jp/naj47/pro/</t>
  </si>
  <si>
    <t>http://naj46.umin.jp/program.html</t>
  </si>
  <si>
    <t>http://naj45.umin.jp/program.html</t>
  </si>
  <si>
    <t>http://naj44.umin.jp/program.html</t>
  </si>
  <si>
    <t>The Japanese Neuropsychiatric Association</t>
  </si>
  <si>
    <t>https://www.kwcs.jp/jna29/</t>
  </si>
  <si>
    <t>https://jna28.org/timetable.html</t>
  </si>
  <si>
    <t>https://jna27.secand.net/img/program.pdf</t>
  </si>
  <si>
    <t>http://184.73.219.23/shinkei/ivent.htm</t>
  </si>
  <si>
    <t>The Japanese Society of Neuropsychopharmacology</t>
  </si>
  <si>
    <t>https://www.c-linkage.co.jp/jsnp53/program.html</t>
  </si>
  <si>
    <t>https://www.c-linkage.co.jp/npbppp2020/program.html</t>
  </si>
  <si>
    <t>The Japanese Society of Neuropsychopharmacology | Japanese Society of Clinical Neuropsychopharmacology</t>
  </si>
  <si>
    <t>https://confit.atlas.jp/guide/event/jsnpjscnp2024/tables</t>
  </si>
  <si>
    <t>The Japanese Society of Psychiatry and Neurology (JSPN)</t>
  </si>
  <si>
    <t>https://www.c-linkage.co.jp/jspn120/program_en.html</t>
  </si>
  <si>
    <t>https://brainminds.jp/en/public_event/post15284/</t>
  </si>
  <si>
    <t>Federation of Spanish Neuropsychology Associations (FANPSE)</t>
  </si>
  <si>
    <t>https://congresofanpse.org/2024/</t>
  </si>
  <si>
    <t>https://www.neuropsicologiaaragon.org/post/xiii-congreso-neuropsicolog%C3%ADa-fanpse</t>
  </si>
  <si>
    <t>https://www.fundacioncerebroysalud.es/2020/03/11/cna-patrocina-xii-congreso-nacional-neuropsicologia-fanspe-celebrado-sevilla-los-dias-5-7-marzo/</t>
  </si>
  <si>
    <t>Spanish Association of Child and Adolescent Psychiatry (AEPNYA)</t>
  </si>
  <si>
    <t>https://aepnya.es/wp-content/uploads/2024/05/PROGRAMA-formato-cerrado-a5_67-AEPNYA-1.pdf</t>
  </si>
  <si>
    <t>https://aepnya.es/wp-content/uploads/2023/06/DEF_PRGM_VLC_AEPNYA66_b2-1.pdf</t>
  </si>
  <si>
    <t>https://aepnya.es/wp-content/uploads/2022/11/AEPNYA_2022_Prog_A5_6as_web.pdf</t>
  </si>
  <si>
    <t>https://aepnya.es/wp-content/uploads/2022/11/PROGRAMA-AEPNYA-1.pdf</t>
  </si>
  <si>
    <t>Spanish Confederation of Associations of Families and People with Mental Illness (FEAFES)</t>
  </si>
  <si>
    <t>https://consaludmental.org/congreso-salud-mental/</t>
  </si>
  <si>
    <t>https://consaludmental.org/multimedia/xxi-congreso-salud-mental/</t>
  </si>
  <si>
    <t>Spanish Society of Child and Adolescent Psychiatry and Psychotherapy</t>
  </si>
  <si>
    <t>https://congresos.sepypna.com/wp-content/uploads/2024/04/2024-Programa-Congreso-SEPYPNA.pdf</t>
  </si>
  <si>
    <t>https://www.feap.es/images/feap/documentos/Formacion/SEPYPNA%20Programa%20Congreso%202023.pdf</t>
  </si>
  <si>
    <t>https://congresos.sepypna.com/wp-content/uploads/2022/04/Programa_SEPYPNA-2022.pdf</t>
  </si>
  <si>
    <t>https://www.sepypna.com/documentos/2021-XXXII-Congreso-Online.pdf</t>
  </si>
  <si>
    <t>https://congresos.sepypna.com/wp-content/uploads/2020/03/2020-XXXII-Congreso-Santiago.pdf</t>
  </si>
  <si>
    <t>Spanish Society of Clinical Psychology (ANPIR)</t>
  </si>
  <si>
    <t>https://congresoanpir.org/wp-content/uploads/AF_programacion_congresocadiz_sepc_converted-1.pdf</t>
  </si>
  <si>
    <t>https://www.anpir.org/wp-content/uploads/Triptico-ANPIR-2023-v.12.pdf</t>
  </si>
  <si>
    <t>https://www.anpir.org/wp-content/uploads/PROGRAMA-PARA-LAS-XXI-JORNADAS-NACIONALES-Y-II-INTERNACIONALES-DE-ANPIR-30.7-%C3%97-21-cm-6.pdf</t>
  </si>
  <si>
    <t>Spanish Society of Neurology</t>
  </si>
  <si>
    <t>https://reunion.sen.es/index.php/#programa</t>
  </si>
  <si>
    <t>https://www.sen.es/attachments/article/3345/Programa-%20Jornada%20Pacientes%20RASEN23.pdf</t>
  </si>
  <si>
    <t>https://reunion2022.sen.es/lxxiv</t>
  </si>
  <si>
    <t>https://reunion2021.sen.es/lxxiii/programa</t>
  </si>
  <si>
    <t>Spanish Society of Neuroscience</t>
  </si>
  <si>
    <t>https://www.senc.es/wp-content/uploads/2024/06/Programa_V13_13-05-2024.pdf</t>
  </si>
  <si>
    <t>https://www.senc.es/wp-content/uploads/2022/04/Programa-Cajal-Conference-2022.pdf</t>
  </si>
  <si>
    <t>Spanish Society of Psychiatry and Mental Health (SEPSM)</t>
  </si>
  <si>
    <t>https://congresonacionaldepsiquiatria.es/pdf/CNP-2024-Programa.pdf</t>
  </si>
  <si>
    <t>https://congresonacionaldepsiquiatria.es/web-2023/pdf/programa_CNP23.pdf</t>
  </si>
  <si>
    <t>https://congresonacionaldepsiquiatria.es/web-2022/pdf/Programa_web_CNP22.pdf</t>
  </si>
  <si>
    <t>https://congresonacionaldepsiquiatria.es/web-2021/pdf/programa_cnp21.pdf</t>
  </si>
  <si>
    <t>https://congresonacionaldepsiquiatria.es/web-2020/pdf/2020/programa_CNP2020.pdf</t>
  </si>
  <si>
    <t>https://www.bap.org.uk/pdfs/BAP2024_Programme.pdf</t>
  </si>
  <si>
    <t>https://www.bap.org.uk/pdfs/BAP2023_programme.pdf</t>
  </si>
  <si>
    <t>https://www.bap.org.uk/pdfs/2022_Summer_Meeting_Programme.pdf</t>
  </si>
  <si>
    <t>https://www.bap.org.uk/pdfs/2021_Summer_Meeting_Live_Online_Programme.pdf</t>
  </si>
  <si>
    <t>British Neuropsychiatry Association</t>
  </si>
  <si>
    <t>https://bnpa.org.uk/wp-content/uploads/2024/02/BNPA-2024-Programme-FINAL.pdf</t>
  </si>
  <si>
    <t>https://bnpa.org.uk/wp-content/uploads/2023/09/BNPA-PROGRAMME-AND-ABSTRACT-BOOK-2023.pdf</t>
  </si>
  <si>
    <t>https://bnpa.org.uk/wp-content/uploads/2022/05/BOOK-2022.pdf</t>
  </si>
  <si>
    <t>https://bnpa.org.uk/wp-content/uploads/2020/11/11-March-2021-Online-Programme.pdf</t>
  </si>
  <si>
    <t>https://bnpa.org.uk/wp-content/uploads/2022/04/2020-BOOK.pdf</t>
  </si>
  <si>
    <t>British Neuroscience Association</t>
  </si>
  <si>
    <t>https://meetings.bna.org.uk/bna2023/prog/programme-day/</t>
  </si>
  <si>
    <t>https://meetings.bna.org.uk/bna2021/programme_information/bna2021-by-day/</t>
  </si>
  <si>
    <t>Royal College of Psychiatrists</t>
  </si>
  <si>
    <t>https://www.rcpsych.ac.uk/events/congress/programme</t>
  </si>
  <si>
    <t>https://www.rcpsych.ac.uk/members/england/ny-mentorship/detail/2023/07/10/default-calendar/international-congress-2021</t>
  </si>
  <si>
    <t>https://www.rcpsych.ac.uk/docs/default-source/events/congress/2022/ic22-full-programme-v1.pdf?sfvrsn=983a1fd8_22</t>
  </si>
  <si>
    <t>https://www.rcpsych.ac.uk/docs/default-source/events/congress/2021/ic21-programme-overview-v2.pdf?sfvrsn=4df2c9cc_44</t>
  </si>
  <si>
    <t>https://www.rcpsych.ac.uk/docs/default-source/events/congress/programme-overview-v3.pdf?sfvrsn=b08b8f1d_0</t>
  </si>
  <si>
    <t>Academy of Psychological Clinical Science</t>
  </si>
  <si>
    <t>https://www.acadpsychclinicalscience.org/cmss_files/attachmentlibrary/2021_APCS_MembershipMeetingMinutes-72-.pdf</t>
  </si>
  <si>
    <t>https://www.acadpsychclinicalscience.org/cmss_files/attachmentlibrary/2020_APCS_MembershipMeetingMinutes-13-.pdf</t>
  </si>
  <si>
    <t>https://aacap.confex.com/aacap/2024/meetingapp.cgi/Day/2024-10-13</t>
  </si>
  <si>
    <t>https://aacap.confex.com/aacap/2023/meetingapp.cgi/Day/2023-10-22</t>
  </si>
  <si>
    <t>https://aacap.confex.com/aacap/2022/meetingapp.cgi/Day/2022-10-17</t>
  </si>
  <si>
    <t>https://aacap-old.confex.com/aacap/2021/meetingapp.cgi/Day/2021-10-18</t>
  </si>
  <si>
    <t>https://aacap-old.confex.com/aacap/2020/meetingapp.cgi/Day/2020-10-19</t>
  </si>
  <si>
    <t>American Academy of Clinical Neuropsychology</t>
  </si>
  <si>
    <t>https://theaacn.org/conference-2024/agenda/</t>
  </si>
  <si>
    <t>https://www.tandfonline.com/doi/abs/10.1080/13854046.2023.2190539</t>
  </si>
  <si>
    <t>https://www.tandfonline.com/doi/abs/10.1080/13854046.2022.2054361</t>
  </si>
  <si>
    <t>https://www.tandfonline.com/doi/full/10.1080/13854046.2021.1900401?src=</t>
  </si>
  <si>
    <t>American Academy of Neurology</t>
  </si>
  <si>
    <t>https://www.aan.com/msa/public/events/index/49</t>
  </si>
  <si>
    <t>https://www.aan.com/msa/public/events/index/45</t>
  </si>
  <si>
    <t>https://www.aan.com/MSA/Public/Events/Index/43</t>
  </si>
  <si>
    <t>https://www.aan.com/pdfprinter/api/print?filename=2021+Annual+Meeting&amp;url=https://www.aan.com/msa/public/events/index/34?print=true</t>
  </si>
  <si>
    <t>https://www.aan.com/pdfprinter/api/print?filename=2020+Annual+Meeting&amp;url=https://www.aan.com/msa/public/events/index/31?print=true</t>
  </si>
  <si>
    <t>American Association of Community Psychiatrists</t>
  </si>
  <si>
    <t>https://www.communitypsychiatry.org/events/mental-health-services-conference</t>
  </si>
  <si>
    <t>https://aagponline.org/education-events/annual-meeting/</t>
  </si>
  <si>
    <t>https://aagponline.org/wp-content/uploads/2023/02/2023SchedulAtAGlance.pdf</t>
  </si>
  <si>
    <t>https://www.emedevents.com/c/medical-conferences-2022/american-association-for-geriatric-psychiatry-aagp-annual-meeting-2022</t>
  </si>
  <si>
    <t>https://www.emedevents.com/c/medical-conferences-2021/american-association-for-geriatric-psychiatry-aagp-annual-meeting-2021</t>
  </si>
  <si>
    <t>https://connect.aagponline.org/events/event-description?CalendarEventKey=1de6bdb4-4539-4585-90c6-7c8c367394d0</t>
  </si>
  <si>
    <t>American Board of Professional Psychology</t>
  </si>
  <si>
    <t>https://rehabpsychconference.org/wp-content/uploads/2024/02/RP2024_ProgramSchedule_Updated_022424.pdf</t>
  </si>
  <si>
    <t>https://rehabpsychconference.org/wp-content/uploads/2023/02/RP2023_Program_021423.pdf</t>
  </si>
  <si>
    <t>American College of Neuropsychopharmacology</t>
  </si>
  <si>
    <t>https://acnp.societyconference.com/conf/#sessions/conf10034</t>
  </si>
  <si>
    <t>https://acnp.societyconference.com/conf/#sessions/conf10033</t>
  </si>
  <si>
    <t>https://acnp.eventsair.com/national-conference-2022/2022-acnp-program</t>
  </si>
  <si>
    <t>https://acnp.societyconference.com/conf/#sessions/conf10031</t>
  </si>
  <si>
    <t>https://acnp.societyconference.com/conf/#sessions/conf10030</t>
  </si>
  <si>
    <t>American Group Psychotherapy Association</t>
  </si>
  <si>
    <t>https://agpa.org/docs/default-source/agpa-connect-2024/2024-agpa-connect-printed-program-final-1-10-24.pdf</t>
  </si>
  <si>
    <t>https://www.agpa.org/home/continuing-ed-meetings-events-training/agpa-connect-2023</t>
  </si>
  <si>
    <t>https://www.agpa.org/home/continuing-ed-meetings-events-training/agpa-connect-2022#:~:text=It%20is%20composed%20of%20three,for%20Monday%2C%20February%2028).</t>
  </si>
  <si>
    <t>https://agpa.org/docs/default-source/agpa-connect-2021/agpa2021-connectprogram-01-06-21.pdf?sfvrsn=c62b9ba9_0</t>
  </si>
  <si>
    <t>https://www.agpa.org/home/continuing-ed-meetings-events-training/agpa-connect-2020</t>
  </si>
  <si>
    <t>American Mental Health Counselors Association</t>
  </si>
  <si>
    <t>https://higherlogicdownload.s3.amazonaws.com/AMHCA/6664039b-12a0-4d03-8199-32c785fe1687/UploadedImages/Conference/2024/2024_Brochure_042924.pdf</t>
  </si>
  <si>
    <t>https://www.amhca.org/events/eventdescription?CalendarEventKey=d09bd4d7-0f80-43d0-916f-6284f451a8b5&amp;Home=%2Fabout%2Fnews</t>
  </si>
  <si>
    <t>https://www.amhca.org/events/eventdescription?CalendarEventKey=16ab2f4e-4bcf-4fbd-8b7f-c46075372577&amp;Home=%2Fevents%2Fupcomingevents#:~:text=Join%20us%20for%20the%202022,2022%20Live%20in%20Las%20Vegas!</t>
  </si>
  <si>
    <t>https://www.amhca.org/events/eventdescription?CalendarEventKey=f73047e7-2825-4511-bfde-9df2c07ded89&amp;Home=%2Fhome</t>
  </si>
  <si>
    <t>https://www.amhca.org/20conference</t>
  </si>
  <si>
    <t>American Neurological Association</t>
  </si>
  <si>
    <t>https://2024.myana.org/program/schedule-at-a-glance</t>
  </si>
  <si>
    <t>https://myana.org/sites/ana/files/images/2023/2023_ana_finalprogram_091123.pdf</t>
  </si>
  <si>
    <t>https://myana.org/sites/ana/files/images/2022%20Final%20Program.pdf</t>
  </si>
  <si>
    <t>https://myana.org/sites/ana/files/images/2021%20Final%20Program.pdf</t>
  </si>
  <si>
    <t>https://myana.org/sites/ana/files/images/2020%20Final%20Program.pdf</t>
  </si>
  <si>
    <t>American Neuropsychiatric Association</t>
  </si>
  <si>
    <t>https://anpaonline.org/event-5421221</t>
  </si>
  <si>
    <t>https://www.anpaonline.org/event-5070302</t>
  </si>
  <si>
    <t>https://anpaonline.org/event-4514384</t>
  </si>
  <si>
    <t>https://anpaonline.org/event-4109263</t>
  </si>
  <si>
    <t>https://anpaonline.org/event-3164340</t>
  </si>
  <si>
    <t>https://www.psychiatry.org/psychiatrists/meetings/annual-meeting/schedule-at-a-glance</t>
  </si>
  <si>
    <t>https://www.psychiatry.org/getattachment/bc1754da-16a5-4b1b-a748-f95a380ad23c/2023-APA-AM-Program-Guide.pdf</t>
  </si>
  <si>
    <t>https://www.psychiatry.org/File%20Library/Psychiatrists/Meetings/Annual-Meeting/2022/2022-APA-Exhibitor-Prospectus.pdf</t>
  </si>
  <si>
    <t>https://www.psychiatry.org/File%20Library/Psychiatrists/Meetings/Annual-Meeting/2021/2021-APA-Annual-Meeting-Syllabus-and-Proceedings.pdf</t>
  </si>
  <si>
    <t>https://www.psychnews.org/pdfs/apa_annual_meeting_preliminary_program_2020.pdf</t>
  </si>
  <si>
    <t>American Psychiatric Nurses Association</t>
  </si>
  <si>
    <t>https://omsapaprod.wpenginepowered.com/wp-content/uploads/2024/08/2024-APNA-Registration-Brochure-Aug-8-update.pdf</t>
  </si>
  <si>
    <t>https://bhwell.uky.edu/events/apna-37th-annual-conference</t>
  </si>
  <si>
    <t>https://bhwell.uky.edu/events/apna-36th-annual-conference-0</t>
  </si>
  <si>
    <t>https://bhwell.uky.edu/events/apna-35th-annual-conference</t>
  </si>
  <si>
    <t>https://m.eventsinamerica.com/events/apna-34th-annual-conference-american-psychiatric-nurses-association/medical-pharma/nursing/ve72choclarhpcw1</t>
  </si>
  <si>
    <t>American Psychoanalytic Association</t>
  </si>
  <si>
    <t>https://apsa.org/wp-content/uploads/2023/12/APSA-NM2024-preprogram_final-1.pdf</t>
  </si>
  <si>
    <t>https://apsa.org/wp-content/uploads/2024/04/113th-AM-FINAL-program-1.pdf</t>
  </si>
  <si>
    <t>https://apsa.org/wp-content/uploads/2023/07/NM2023.pdf?ver</t>
  </si>
  <si>
    <t>https://apsa.org/wp-content/uploads/2023/07/AM112.pdf?ver</t>
  </si>
  <si>
    <t>https://apsa.org/wp-content/uploads/2023/07/NM2022.pdf?ver</t>
  </si>
  <si>
    <t>https://apsa.org/wp-content/uploads/2023/07/AM111.pdf?ver</t>
  </si>
  <si>
    <t>https://apsa.org/wp-content/uploads/2023/07/NM2021.pdf?ver</t>
  </si>
  <si>
    <t>https://apsa.org/wp-content/uploads/2023/07/AM110.pdf?ver</t>
  </si>
  <si>
    <t>https://apsa.org/wp-content/uploads/2023/07/NM2020.pdf?ver</t>
  </si>
  <si>
    <t>https://apsa.org/wp-content/uploads/2023/07/AM109.pdf?ver</t>
  </si>
  <si>
    <t>American Psychological Association</t>
  </si>
  <si>
    <t>https://convention.apa.org/agenda/agenda-at-a-glance</t>
  </si>
  <si>
    <t>https://irp.cdn-website.com/a5ea5d51/files/uploaded/APA%202023%20Program-0ead88d8.pdf</t>
  </si>
  <si>
    <t>https://app.core-apps.com/apa2022/events/view_by_day?day=Aug++4&amp;tracks=&amp;type=</t>
  </si>
  <si>
    <t>https://irp.cdn-website.com/a5ea5d51/files/uploaded/APA2021-on-demand-index.pdf</t>
  </si>
  <si>
    <t>https://irp.cdn-website.com/a5ea5d51/files/uploaded/APA_2020_Program.pdf</t>
  </si>
  <si>
    <t>Association for Behavioral and Cognitive Therapies</t>
  </si>
  <si>
    <t>https://www.abct.org/2024-convention/</t>
  </si>
  <si>
    <t>https://abct2023.eventscribe.net/agenda.asp?pfp=days&amp;day=11/16/2023&amp;theday=Thursday&amp;h=Thursday%20November%2016&amp;BCFO=P|G</t>
  </si>
  <si>
    <t>https://www.eventscribe.net/2022/ABCT/agenda.asp?pfp=days&amp;day=11/17/2022&amp;theday=Thursday&amp;h=Thursday%20November%2017&amp;BCFO=P|G</t>
  </si>
  <si>
    <t>https://www.abct.org/2021-convention/</t>
  </si>
  <si>
    <t>https://conventionarchives.abct.org/conv2020/docs/Program_Book.pdf</t>
  </si>
  <si>
    <t>https://www.psychologicalscience.org/redesign/wp-content/uploads/2024/05/2024-APS-Convention-Program-Brochure.pdf</t>
  </si>
  <si>
    <t>https://www.psychologicalscience.org/redesign/wp-content/uploads/2024/02/Program_Book_APS_2023.pdf</t>
  </si>
  <si>
    <t>https://www.psychologicalscience.org/redesign/wp-content/uploads/2022/05/Program_Book_APS_2022-Online.pdf</t>
  </si>
  <si>
    <t>https://www.psychologicalscience.org/redesign/wp-content/uploads/2021/05/APS_2021_Virtual_Convention_interacive.pdf</t>
  </si>
  <si>
    <t>Association of Black Psychologists</t>
  </si>
  <si>
    <t>https://abpsi.site-ym.com/page/ConventionCall</t>
  </si>
  <si>
    <t>https://abpsi.site-ym.com/events/Sessions.aspx?id=1659401</t>
  </si>
  <si>
    <t>https://sites.google.com/view/abpsi2022/schedule?authuser=0</t>
  </si>
  <si>
    <t>https://cdn.ymaws.com/abpsi.site-ym.com/resource/resmgr/convention_meetings_/2021_convention/2021_sponsorship_guide_1.pdf</t>
  </si>
  <si>
    <t>Functional Neurological Disorder Society</t>
  </si>
  <si>
    <t>https://www.fndsociety.org/biennial-meeting/2024/program</t>
  </si>
  <si>
    <t>https://www.fndsociety.org/biennial-meeting/2022/programme</t>
  </si>
  <si>
    <t>International Society for Psychological and Social Approaches to Psychosis United States Chapter (ISPS US)</t>
  </si>
  <si>
    <t>https://ispsusconference2024.sched.com/print</t>
  </si>
  <si>
    <t>https://ispsus2023.sched.com/print</t>
  </si>
  <si>
    <t>https://ispsusconference.sched.com/print</t>
  </si>
  <si>
    <t>https://www.youtube.com/playlist?list=PLyn_Ty_RtNz4woQIBk8Tl4rVJEEFhnf_2</t>
  </si>
  <si>
    <t>https://gaudillieredavoine.com/wp-content/uploads/2020/09/19-annual-meeting-program-schedule.pdf</t>
  </si>
  <si>
    <t>Mental Health America</t>
  </si>
  <si>
    <t>https://mhanational.org/annual-conference/schedule</t>
  </si>
  <si>
    <t>https://mhanational.org/blog/day-1-2023-mental-health-america-conference-recap</t>
  </si>
  <si>
    <t>https://wellbeingtrust.org/events/mental-health-america-2022-conference/</t>
  </si>
  <si>
    <t>https://www.cugmhp.org/events/mental-health-america-2021-annual-conference/</t>
  </si>
  <si>
    <t>https://mhanational.org/sites/default/files/2020%20MHA%20Conference%20Sponsor%20and%20Promotional%20Opportunities%203.18.20.pdf</t>
  </si>
  <si>
    <t>National Academy of Neuropsychology</t>
  </si>
  <si>
    <t>https://s2.goeshow.com/nan/annual/2024/documents/NAN2024_SAG.pdf</t>
  </si>
  <si>
    <t>https://nan2023.eventscribe.net/agenda.asp?BCFO=&amp;pfp=BrowsebyDay&amp;fa=&amp;fb=&amp;fc=&amp;fd=&amp;all=1&amp;mode=</t>
  </si>
  <si>
    <t>https://www.eventscribe.net/2022/NAN/SearchByBucket.asp?f=TrackName&amp;bm=OnDemand&amp;pfp=BrowseOnDemand</t>
  </si>
  <si>
    <t>https://www.nanonline.org/NAN/_ContinuingEducation/_Conference/2021_DC/2021_Conference.aspx</t>
  </si>
  <si>
    <t>https://www.nanonline.org/NAN/_ContinuingEducation/_Conference/2020_Chicago/2020_Annual_Conference.aspx</t>
  </si>
  <si>
    <t>Psychonomic Society</t>
  </si>
  <si>
    <t>https://www.psychonomic.org/page/2024program</t>
  </si>
  <si>
    <t>https://www.psychonomic.org/page/2023program</t>
  </si>
  <si>
    <t>https://www.psychonomic.org/page/2022annualmeeting</t>
  </si>
  <si>
    <t>https://www.psychonomic.org/page/2021program</t>
  </si>
  <si>
    <t>https://www.psychonomic.org/page/2020program</t>
  </si>
  <si>
    <t>Society for Black Neuropsychology</t>
  </si>
  <si>
    <t>https://soblackneuro.org/2022-virtual-symposium/agenda/</t>
  </si>
  <si>
    <t>Society for General Psychology (Division 1)</t>
  </si>
  <si>
    <t>https://apadiv1.org/news-events/conferences/</t>
  </si>
  <si>
    <t>Society for Personality and Social Psychology</t>
  </si>
  <si>
    <t>https://spsp.org/sites/default/files/2024-02/SPSP-2024-Convention-Program.pdf</t>
  </si>
  <si>
    <t>https://spsp.org/sites/default/files/2023-02/SPSP-2023-Convention-Agenda_2.pdf</t>
  </si>
  <si>
    <t>https://spsp.org/sites/default/files/2023-04/SPSP-2022-Convention-Agenda-2.pdf</t>
  </si>
  <si>
    <t>https://spsp.org/sites/default/files/2023-04/SPSP-2021-Virtual-Convention-Agenda-6.pdf</t>
  </si>
  <si>
    <t>https://spsp.org/sites/default/files/2023-04/SPSP-2020-Convention-Print-Program.pdf</t>
  </si>
  <si>
    <t>Society for Psychotherapy Research</t>
  </si>
  <si>
    <t>https://cdn.ymaws.com/www.psychotherapyresearch.org/resource/resmgr/imported/events/annualmeeting_progs/spr_meeting_program_2024.pdf</t>
  </si>
  <si>
    <t>https://cdn.ymaws.com/www.psychotherapyresearch.org/resource/resmgr/eu-spr/events/brno2024/EU_UK-SPR2024_Program.pdf</t>
  </si>
  <si>
    <t>https://www.spritalia.org/images/SPR_ITALIA/CONGRESSI/2024_PROGRAMMA_PROVVISORIO.pdf</t>
  </si>
  <si>
    <t>https://cdn.ymaws.com/www.psychotherapyresearch.org/resource/resmgr/imported/events/annualmeeting_progs/spr_meeting_program_2023.pdf</t>
  </si>
  <si>
    <t>https://sites.google.com/view/naspr2023conference-mainwebsit/scientific-program?authuser=0</t>
  </si>
  <si>
    <t>https://cdn.ymaws.com/www.psychotherapyresearch.org/resource/resmgr/imported/events/annualmeeting_progs/spr_meeting_program_2022.pdf</t>
  </si>
  <si>
    <t>https://cdn.ymaws.com/www.psychotherapyresearch.org/resource/resmgr/eu-spr/EU-SPR2022_Program.pdf</t>
  </si>
  <si>
    <t>https://www.spritalia.org/images/SPR_ITALIA/CONGRESSI/PROGRAMMA_SPR-IAG.pdf</t>
  </si>
  <si>
    <t>https://cdn.ymaws.com/www.psychotherapyresearch.org/resource/resmgr/imported/events/annualmeeting_progs/spr_meeting_program_2021.pdf</t>
  </si>
  <si>
    <t>https://drive.google.com/file/d/1N2g8K4fC0CNI57KgpR6G71E3r445Q7os/view</t>
  </si>
  <si>
    <t>Society of Consulting Psychology</t>
  </si>
  <si>
    <t>https://www.societyofconsultingpsychology.org/2024-agenda/</t>
  </si>
  <si>
    <t>https://www.societyofconsultingpsychology.org/wp-content/uploads/2023/01/SCP-Conference-Program8.pdf</t>
  </si>
  <si>
    <t>https://www.societyofconsultingpsychology.org/wp-content/uploads/2022/02/30036-SCP-Conference-Program7.pdf</t>
  </si>
  <si>
    <t>https://www.emedevents.com/online-cme-courses/live-webinar/2021-society-of-consulting-psychology-scp-annual-conference</t>
  </si>
  <si>
    <t>https://www.emedevents.com/c/medical-conferences-2020/2020-society-of-consulting-psychology-scp-annual-conference</t>
  </si>
  <si>
    <t>Canadian Academy of Geriatric Psychiatry</t>
  </si>
  <si>
    <t>https://isbngroup.net/</t>
  </si>
  <si>
    <t>https://discourseinpsychosis.org/</t>
  </si>
  <si>
    <t>Late-Onset Psychosis/ Late-Life Psychosis/ Geriatric Psychosis/ Very Late-Onset Schizophrenia-Like Psychosis</t>
  </si>
  <si>
    <t>Psychosis in Dementia/ Dementia-Related Psychosis</t>
  </si>
  <si>
    <t>Agitation</t>
  </si>
  <si>
    <t>Aggression</t>
  </si>
  <si>
    <t>Adult</t>
  </si>
  <si>
    <t>Adolescent/ Adolescence</t>
  </si>
  <si>
    <t>Geriatrics</t>
  </si>
  <si>
    <t>Ulotaront/ SEP-363856/ SEP-856</t>
  </si>
  <si>
    <t>Trospium/ Trospium Chloride</t>
  </si>
  <si>
    <t>NBI-1117568</t>
  </si>
  <si>
    <t>Muscarinic Receptor Antagonists/ MRAs/ Muscarinic Antagonists/ Antimuscarinics</t>
  </si>
  <si>
    <t>Cornell Scale for Depression in Dementia/ CSDD</t>
  </si>
  <si>
    <t>Clinical Dementia Rating/ Clinical Dementia Rating Scale-Sum of Boxes/ CDR-SOB/ CDR-SB</t>
  </si>
  <si>
    <t>KarXT/ Xanomeline-Trospium</t>
  </si>
  <si>
    <t>https://www.mhlw.go.jp/stf/shingi/shingi-chuo_128153.html</t>
  </si>
  <si>
    <t>https://www.nia.nih.gov/</t>
  </si>
  <si>
    <t>Not Applicable</t>
  </si>
  <si>
    <t>Both</t>
  </si>
  <si>
    <t>https://www.england.nhs.uk/commissioning/spec-services/npc-crg/group-d/neurology/</t>
  </si>
  <si>
    <t>https://psychiatryonline.org/doi/epdf/10.1176/appi.books.9780890426807</t>
  </si>
  <si>
    <t>Psychosis in Dementia</t>
  </si>
  <si>
    <t>Canadian Coalition for Seniors’ Mental Health</t>
  </si>
  <si>
    <t>https://ccsmh.ca/wp-content/uploads/2024/03/V4-CCSMH-BPSD-Clinical-Guidelines_Final-for-webinar.pdf</t>
  </si>
  <si>
    <t>Behavioural and Psychological Symptoms of Dementia (BPSD)</t>
  </si>
  <si>
    <t>International Psychogeriatric Association</t>
  </si>
  <si>
    <t>https://www.ipa-online.org/UserFiles/file/IPA_BPSD_Specialists_Complete_Guide_Online_2015_Final.pdf</t>
  </si>
  <si>
    <t>https://researchportal.hkr.se/en/publications/the-ipa-complete-guides-to-behavioural-and-psychological-symtoms--5</t>
  </si>
  <si>
    <t>ADP</t>
  </si>
  <si>
    <t>https://alz-journals.onlinelibrary.wiley.com/journal/23528737</t>
  </si>
  <si>
    <t>https://alz-journals.onlinelibrary.wiley.com/journal/23528729</t>
  </si>
  <si>
    <t>https://www.iospress.com/catalog/journals/journal-of-alzheimers-disease-reports#aims-scope</t>
  </si>
  <si>
    <t>https://alz-journals.onlinelibrary.wiley.com/journal/15525279</t>
  </si>
  <si>
    <t>https://link.springer.com/journal/42414</t>
  </si>
  <si>
    <t>https://www.j-alz.com/</t>
  </si>
  <si>
    <t>https://www.eurekaselect.com/journal/66/about-journal</t>
  </si>
  <si>
    <t>https://journals.sagepub.com/home/aja</t>
  </si>
  <si>
    <t>https://journals.lww.com/alzheimerjournal/pages/default.aspx</t>
  </si>
  <si>
    <t>https://alzres.biomedcentral.com/about</t>
  </si>
  <si>
    <t>https://agsjournals.onlinelibrary.wiley.com/journal/15325415</t>
  </si>
  <si>
    <t>https://www.cambridge.org/core/journals/international-psychogeriatrics/information/about-this-journal</t>
  </si>
  <si>
    <t>https://www.tandfonline.com/journals/ipog20</t>
  </si>
  <si>
    <t>https://www.jgerontology-geriatrics.com/index</t>
  </si>
  <si>
    <t>https://www.tandfonline.com/journals/wgge20</t>
  </si>
  <si>
    <t>https://cgjonline.ca/index.php/cgj</t>
  </si>
  <si>
    <t>https://link.springer.com/journal/13670</t>
  </si>
  <si>
    <t>https://www.mdpi.com/journal/geriatrics/about</t>
  </si>
  <si>
    <t>https://www.sciencedirect.com/journal/archives-of-gerontology-and-geriatrics</t>
  </si>
  <si>
    <t>https://bmcgeriatr.biomedcentral.com/</t>
  </si>
  <si>
    <t>https://onlinelibrary.wiley.com/journal/14470594</t>
  </si>
  <si>
    <t>https://onlinelibrary.wiley.com/journal/14798301</t>
  </si>
  <si>
    <t>https://journals.lww.com/topicsingeriatricrehabilitation/pages/default.aspx</t>
  </si>
  <si>
    <t>https://karger.com/dee</t>
  </si>
  <si>
    <t>https://www.e-agmr.org/</t>
  </si>
  <si>
    <t>https://journals.sagepub.com/home/ggm</t>
  </si>
  <si>
    <t>https://www.sciencedirect.com/journal/clinics-in-geriatric-medicine</t>
  </si>
  <si>
    <t>https://karger.com/dem</t>
  </si>
  <si>
    <t>https://link.springer.com/journal/41999</t>
  </si>
  <si>
    <t>https://journals.lww.com/jgpt/pages/default.aspx</t>
  </si>
  <si>
    <t>https://www.sciencedirect.com/journal/geriatric-nursing</t>
  </si>
  <si>
    <t>https://www.hogrefe.com/ch/zeitschrift/geropsych</t>
  </si>
  <si>
    <t>https://www.annexpublishers.com/journals/journal-of-alzheimers-disease-and-research/jhome.php</t>
  </si>
  <si>
    <t>https://scholars.direct/journal.php?jid=alzheimers-disease-and-dementia</t>
  </si>
  <si>
    <t>https://www.opastpublishers.com/journal/international-journal-of-alzheimers-disease-research</t>
  </si>
  <si>
    <t>https://www.scirp.org/journal/aimscope?journalid=1408</t>
  </si>
  <si>
    <t>https://www.heraldopenaccess.us/journals/journal-of-alzheimers-neurodegenerative-diseases</t>
  </si>
  <si>
    <t>https://www.alzint.org/</t>
  </si>
  <si>
    <t>https://www.alz.org/</t>
  </si>
  <si>
    <t>https://alzfdn.org/</t>
  </si>
  <si>
    <t>https://www.alzheimers.org.uk/</t>
  </si>
  <si>
    <t>https://www.alzheimersresearchuk.org/</t>
  </si>
  <si>
    <t>https://alzheimer.ca/en</t>
  </si>
  <si>
    <t>https://www.francealzheimer.org/</t>
  </si>
  <si>
    <t>Luxembourg</t>
  </si>
  <si>
    <t>https://www.alzheimer-europe.org/</t>
  </si>
  <si>
    <t>https://www.deutsche-alzheimer.de/</t>
  </si>
  <si>
    <t>https://www.alzheimer.it/</t>
  </si>
  <si>
    <t>https://www.alzheimer.or.jp/</t>
  </si>
  <si>
    <t>https://www.ceafa.es/es</t>
  </si>
  <si>
    <t>https://alzfae.org/</t>
  </si>
  <si>
    <t>https://www.alzheimeruniti.it/</t>
  </si>
  <si>
    <t>https://curealz.org/</t>
  </si>
  <si>
    <t>https://www.alzcare.org/</t>
  </si>
  <si>
    <t>https://curingalzheimersdisease.com/</t>
  </si>
  <si>
    <t>https://www.usagainstalzheimers.org/</t>
  </si>
  <si>
    <t>https://www.wearehfc.org/</t>
  </si>
  <si>
    <t>https://www.jdfaf.org/</t>
  </si>
  <si>
    <t>https://thewomensalzheimersmovement.org/</t>
  </si>
  <si>
    <t>https://fpmaragall.org/</t>
  </si>
  <si>
    <t>https://www.fundacionreinasofia.es/ES/Paginas/home.aspx</t>
  </si>
  <si>
    <t>https://www.vaincrealzheimer.org/</t>
  </si>
  <si>
    <t>https://www.fondation-mederic-alzheimer.org/</t>
  </si>
  <si>
    <t>https://alzheimer-recherche.org/</t>
  </si>
  <si>
    <t>https://www.fondation-alzheimer.org/</t>
  </si>
  <si>
    <t>http://www.alzheimer-aima.it/</t>
  </si>
  <si>
    <t>https://www.airalzh.it/</t>
  </si>
  <si>
    <t>https://www.caima.it/</t>
  </si>
  <si>
    <t>https://www.fondazione-manuli.org/</t>
  </si>
  <si>
    <t>https://www.pernonsentirsisoli.org/</t>
  </si>
  <si>
    <t>https://www.deutsche-alzheimer-stiftung.de/</t>
  </si>
  <si>
    <t>https://alzheimer-organisation.de/</t>
  </si>
  <si>
    <t>https://alzimpact.org/</t>
  </si>
  <si>
    <t>https://carersworldwide.org/</t>
  </si>
  <si>
    <t>https://internationalcarers.org/</t>
  </si>
  <si>
    <t>https://eurocarers.org/</t>
  </si>
  <si>
    <t>https://www.carerscanada.ca/</t>
  </si>
  <si>
    <t>https://www.aidants.fr/</t>
  </si>
  <si>
    <t>https://carersjapan.com/</t>
  </si>
  <si>
    <t>https://www.carersuk.org/</t>
  </si>
  <si>
    <t>https://www.caregiving.org/</t>
  </si>
  <si>
    <t>https://www.acufade.org/</t>
  </si>
  <si>
    <t>https://www.allipa.de/</t>
  </si>
  <si>
    <t>https://carers.org/</t>
  </si>
  <si>
    <t>https://www.caregiver.org/</t>
  </si>
  <si>
    <t>https://www.ipa-online.org/</t>
  </si>
  <si>
    <t>https://www.iagg-er.eu/</t>
  </si>
  <si>
    <t>https://www.iagg.net/</t>
  </si>
  <si>
    <t>https://canadiangeriatrics.ca/</t>
  </si>
  <si>
    <t>https://cgna.net/</t>
  </si>
  <si>
    <t>https://cagacg.ca/</t>
  </si>
  <si>
    <t>https://www.eugms.org/home.html</t>
  </si>
  <si>
    <t>https://sf3pa.com/</t>
  </si>
  <si>
    <t>https://sfgg.org/</t>
  </si>
  <si>
    <t>https://www.dggg-online.de/index.html</t>
  </si>
  <si>
    <t>https://www.dggeriatrie.de/</t>
  </si>
  <si>
    <t>https://psicogeriatria.it/</t>
  </si>
  <si>
    <t>https://www.sigg.it/</t>
  </si>
  <si>
    <t>https://www.jpn-geriat-soc.or.jp/index.html</t>
  </si>
  <si>
    <t>https://www.rounenkango.com/</t>
  </si>
  <si>
    <t>https://www.sepg.es/</t>
  </si>
  <si>
    <t>https://www.segg.es/</t>
  </si>
  <si>
    <t>https://seegg.es/</t>
  </si>
  <si>
    <t>https://www.bgs.org.uk/</t>
  </si>
  <si>
    <t>https://www.britishgerontology.org/</t>
  </si>
  <si>
    <t>https://www.americangeriatrics.org/</t>
  </si>
  <si>
    <t>https://www.geron.org/</t>
  </si>
  <si>
    <t>https://www.gapna.org/</t>
  </si>
  <si>
    <t>https://www.alzinfo.org/</t>
  </si>
  <si>
    <t>https://www.alzdiscovery.org/</t>
  </si>
  <si>
    <t>https://www.adcs.org/</t>
  </si>
  <si>
    <t>https://www.alzforum.org/</t>
  </si>
  <si>
    <t>https://www.alzheimersresearchfoundation.com/</t>
  </si>
  <si>
    <t>https://www.alzheimer-forschung.de/</t>
  </si>
  <si>
    <t>https://istaart.alz.org/home</t>
  </si>
  <si>
    <t>https://ep-ad.org/</t>
  </si>
  <si>
    <t>https://eadc.online/</t>
  </si>
  <si>
    <t>https://alzheimersprevention.org/</t>
  </si>
  <si>
    <t>https://www.afpbn.org/</t>
  </si>
  <si>
    <t>Society of Biological Psychiatry</t>
  </si>
  <si>
    <t>Italian Society of Neuropsychopharmacology (SINPF)</t>
  </si>
  <si>
    <t>Canadian College of Neuropsychopharmacology</t>
  </si>
  <si>
    <t>https://sobp.org/</t>
  </si>
  <si>
    <t>https://www.sipb.it/</t>
  </si>
  <si>
    <t>https://sinpf.it/</t>
  </si>
  <si>
    <t>https://agnp.de/</t>
  </si>
  <si>
    <t>https://ccnp.ca/</t>
  </si>
  <si>
    <t>Activity_Category</t>
  </si>
  <si>
    <t>Schizophrenia | Schizotypal and Delusional Disorders | Mood [Affective] Disorders</t>
  </si>
  <si>
    <t>Schizophrenia | Schizotypal and Delusional Disorders</t>
  </si>
  <si>
    <t>Schizophrenia | Persistent Delusional Disorders | Acute and Transient Psychotic Disorders | Schizoaffective Disorders | Other Nonorganic Psychotic Disorders | Unspecified Nonorganic Psychosis</t>
  </si>
  <si>
    <t>Schizophrenia | Schizotypal Disorder | Persistent Delusional Disorders | Acute and Transient Psychotic Disorders | Schizoaffective Disorders</t>
  </si>
  <si>
    <t>EudraCT number: 2022-001515-10 - A Phase 3, Randomized, Double-Blind, Placebo-Controlled Relapse Prevention Study to Evaluate the Safety and Efficacy of KarXT for the Treatment of Psychosis Associated with Alzheimer’s Disease Dementia</t>
  </si>
  <si>
    <t>Psychosis Associated with Alzheimer’s Disease Dementia</t>
  </si>
  <si>
    <t>EudraCT number: 2022-001515-10</t>
  </si>
  <si>
    <t>https://www.clinicaltrialsregister.eu/ctr-search/trial/2022-001515-10/ES</t>
  </si>
  <si>
    <t>Schizophrenia Spectrum Disorder Or Affective Disorder with Psychotic Symptoms</t>
  </si>
  <si>
    <t>Post-Traumatic Stress Disorder | Schizophrenia | Psychosis</t>
  </si>
  <si>
    <t>Schizophrenia (Including Schizophrenia-Type Disorders and Delusional Disorders)</t>
  </si>
  <si>
    <t>Drug-Resistant Depressionschizophrenia</t>
  </si>
  <si>
    <t>Schizophrenia (Including Schizoaffective Disorder) | Cancer</t>
  </si>
  <si>
    <t>Schizophrenia Or Schizoaffective Disorder According to Dsm-5 Or Icd-11 Diagnostic Criteria</t>
  </si>
  <si>
    <t>Cognitive Impairment Associated with Schizophrenia</t>
  </si>
  <si>
    <t>Depression | Bipolar Disorder | Schizophrenia | Obsessive-Compulsive Disorder</t>
  </si>
  <si>
    <t>NCT00000179 - Agitation in Alzheimer's Disease</t>
  </si>
  <si>
    <t>NCT00000179</t>
  </si>
  <si>
    <t>https://clinicaltrials.gov/study/NCT00000179</t>
  </si>
  <si>
    <t>NCT01979796 - Antismoking Effects of Electronic Cigarettes in Subjects With Schizophrenia and Their Potential Influence on Cognitive Functioning: Design of a Randomized Trial. Smoking Cessation And Reduction In Schizophrenia (The SCARIS Study)</t>
  </si>
  <si>
    <t>NCT01979796</t>
  </si>
  <si>
    <t>https://clinicaltrials.gov/study/NCT01979796</t>
  </si>
  <si>
    <t>NCT03271814 - Brain Biomarker on Inflammation Response</t>
  </si>
  <si>
    <t>NCT03271814</t>
  </si>
  <si>
    <t>https://clinicaltrials.gov/study/NCT03271814</t>
  </si>
  <si>
    <t>First Episode Psychosis | Schizophrenia | Childhood | Psychosis | Schizophrenia | Schizoaffective Disorder | Schizophreniform Disorders | Bipolar I Disorder | Schizophrenia Spectrum and Other Psychotic Disorders | Affective Disorders | Psychotic | Psychotic Disorder Due to Unspecified Substance</t>
  </si>
  <si>
    <t>Schizo-Affective Type of Psychosis | Schizophrenia</t>
  </si>
  <si>
    <t>Schizophrenia | Bipolar Disorder | Borderline Personality Disorder | Social Function | Self-Stigma</t>
  </si>
  <si>
    <t>NCT04001439 - FEcal Microbiota Transplantation for MAjor Depression in Schizophrenia (FEMADSZ)</t>
  </si>
  <si>
    <t>Depression in Schizophrenia</t>
  </si>
  <si>
    <t>NCT04001439</t>
  </si>
  <si>
    <t>https://clinicaltrials.gov/study/NCT04001439</t>
  </si>
  <si>
    <t>Schizophrenia | Bipolar Disorder | Healthy | Psychosis | Schizophreniform Disorders | Schizo Affective Disorder | Major Depression with Psychotic Features</t>
  </si>
  <si>
    <t>Schizophrenia | Depression | Motivation | Anhedonia | Physical | Anhedonia | Social | Negative Symptoms with Primary Psychotic Disorder</t>
  </si>
  <si>
    <t>Supported Accommodation Residents | Schizophrenia | Shizotypal and Delusional Disorders | Mood Affective Disorders | Disorders of Adult Personality and Behavior</t>
  </si>
  <si>
    <t>Schizophrenia | Di George Syndrome</t>
  </si>
  <si>
    <t>NCT04148963 - A Multi-center, Randomized, Double-blind, Placebo-controlled Efficacy and Safety Study of Staccato Loxapine (ADASUVE®) for Inhalation in Acutely Agitated Patients With Schizophrenia or Bipolar Disorder</t>
  </si>
  <si>
    <t>Psychomotor Agitation | Schizophrenia | Bipolar Disorder</t>
  </si>
  <si>
    <t>NCT04148963</t>
  </si>
  <si>
    <t>https://clinicaltrials.gov/study/NCT04148963</t>
  </si>
  <si>
    <t>Schizophrenia | Schizoaffective Disorder | Brief Psychotic Disorder | Schizophreniform Disorders | Unspecified Schizophrenia Spectrum and Other Psychotic Disorder</t>
  </si>
  <si>
    <t>NCT04248010 - Mechanistic Clinical Trial of Individualized tDCS for Hallucinations in Schizophrenia</t>
  </si>
  <si>
    <t>Schizophrenia and Related Disorders</t>
  </si>
  <si>
    <t>NCT04248010</t>
  </si>
  <si>
    <t>https://clinicaltrials.gov/study/NCT04248010</t>
  </si>
  <si>
    <t>Schizophrenia and Related Disorders | Mental Competency</t>
  </si>
  <si>
    <t>Negative Symptoms with Primary Psychotic Disorder | Schizophrenia</t>
  </si>
  <si>
    <t>Schizophrenia | Schizoaffective Disorder | Delusional Disorder | Major Depressive Disorder with Psychotic Features</t>
  </si>
  <si>
    <t>NCT04332601 - Assessment of the Efficacy of a Fatigue Management Therapy in Schizophrenia: a Randomized Controlled Multi-centric Study</t>
  </si>
  <si>
    <t>NCT04332601</t>
  </si>
  <si>
    <t>https://clinicaltrials.gov/study/NCT04332601</t>
  </si>
  <si>
    <t>Schizophrenia and Related Disorders | Diet Habit</t>
  </si>
  <si>
    <t>Psychosis | Schizophrenia | First-Episode Psychosis</t>
  </si>
  <si>
    <t>Schizophrenia | Stress Disorders | Post-Traumatic</t>
  </si>
  <si>
    <t>NCT04432116 - EEG and Behavioural Correlates of Virtual Reality Treatment of Environmental Zeitgebers in Schizophrenia and Bipolar Disorder</t>
  </si>
  <si>
    <t>NCT04432116</t>
  </si>
  <si>
    <t>https://clinicaltrials.gov/study/NCT04432116</t>
  </si>
  <si>
    <t>Smoking | Schizophrenia Spectrum and Other Psychotic Disorders</t>
  </si>
  <si>
    <t>Schizophrenia and Related Disorders | Drug Administration Schedule | Drug Therapy | Antipsychotic Agents</t>
  </si>
  <si>
    <t>Schizophrenia | Schizoaffective Disorder | Schizophreniform Disorders | Major Depression with Psychotic Features | Bipolar Disorder with Psychotic Features</t>
  </si>
  <si>
    <t>NCT04562961 - Qualitative Study Among Relatives of Patients With Schizophrenia: Experience, Expectations and Impact of the Diagnostic Announcement</t>
  </si>
  <si>
    <t>NCT04562961</t>
  </si>
  <si>
    <t>https://clinicaltrials.gov/study/NCT04562961</t>
  </si>
  <si>
    <t>Psychotic Disorders | ADHD | Tbi (Traumatic Brain Injury) | Aggression | Substance Use Disorders | Violence | Cognitive Dysfunction | Anxiety | Depression | Schizophrenia | Offenders | Antisocial</t>
  </si>
  <si>
    <t>Schizophrenia and Related Disorders | Psychotic Disorders | Delusions</t>
  </si>
  <si>
    <t>Schizophrenia | Schizoaffective Disorder | Schizophreniform Disorders | Unspecified Schizophrenia Spectrum and Other Psychotic Disorder</t>
  </si>
  <si>
    <t>NCT04798131 - Treat Refractory Auditory Hallucinations in Schizophrenia Patients With fMRI-guided Neurofeedback: A Randomized-controlled Trial</t>
  </si>
  <si>
    <t>Schizophrenia | Hallucinations, Auditory | Hallucinations, Visual</t>
  </si>
  <si>
    <t>NCT04798131</t>
  </si>
  <si>
    <t>https://clinicaltrials.gov/study/NCT04798131</t>
  </si>
  <si>
    <t>Schizophrenia | Schizotypal Disorder | Delusional Disorder | Brief Psychotic Disorder | Shared Psychotic Disorder | Schizoaffective Disorder | Other Psychotic Disorder Not Due to A Substance Or Known Physiological Condition | Unspecified Psychosis Not Due to A Substance Or Known Physiological Condition | Manic Episode | Severe with Psychotic Symptoms | Bipolar Disorder | Current Episode Manic Severe with Psychotic Features | Bipolar Disorder | Current Episode Depressed | Severe | with Psychotic Features | Major Depressive Disorder | Single Episode | Severe with Psychotic Features | Major Depressive Disorder | Recurrent | Severe with Psychotic Symptoms</t>
  </si>
  <si>
    <t>Schizophrenia | Psychotic Disorders | Mood Disorders | Schizophrenia Spectrum | Mental Disorders | Antipsychotic Agents | Tranquilizing Agents | Central Nervous System Depressants | Physiological Effects of Drugs | Psychotropic Drugs | Neurotransmitter Agents | Molecular Mechanisms of Pharmacological Action</t>
  </si>
  <si>
    <t>Alcohol Use Disorder (AUD) | Schizophrenia and Related Disorders</t>
  </si>
  <si>
    <t>Schizophrenia | Bipolar Disorder | Schizoaffective Disorder | Post-Traumatic Stress Disorder</t>
  </si>
  <si>
    <t>Schizophrenia | Schizo-Affective Disorder | Schizophreniform; Schizophrenic | Bipolar Disorder I | Bipolar Disorder Ii</t>
  </si>
  <si>
    <t>Inherited Metabolic Disorder of Nervous System | Schizophrenia</t>
  </si>
  <si>
    <t>Inflammatory Bowel Diseases | Depressive Episode | Recurrent Depressive Disorder | Anxiety Disorder | Psychological Disorder | Self Harm | Suicide | Attempted | Parasuicide | Eating Disorders | Body Image Disorder | Attention Deficit Hyperactivity Disorder | Behavioral Disorder | Adjustment Disorders | Acute Stress Disorder | Schizophrenia | Bipolar Disorder | Post-Traumatic Stress Disorder | Sleep Disturbance</t>
  </si>
  <si>
    <t>Psychosis | Schizophrenia | Negative Symptoms with Primary Psychotic Disorder</t>
  </si>
  <si>
    <t>Psychosis | Schizophrenia | Schizophrenia Spectrum and Other Psychotic Disorders | Schizoaffective Disorder</t>
  </si>
  <si>
    <t>Psychosis | Complex Post-Traumatic Stress Disorder | Schizophrenia</t>
  </si>
  <si>
    <t>Schizophrenia | Auditory Hallucination | Treatment-Resistant Schizophrenia</t>
  </si>
  <si>
    <t>Psychosis | Schizophrenia and Related Disorders | Schizophrenia Spectrum and Other Psychotic Disorders | Substance Use | Substance Use Disorders</t>
  </si>
  <si>
    <t>Schizophrenia | Psychotic Disorders | Mood Disorders | Schizophrenia Spectrum and Other Psychotic Disorders | Mental Disorders | Antipsychotic Agents | Tranquilizing Agents | Central Nervous System Depression | Physiological Effects of Drugs | Psychotropic Drugs | Neurotransmitter Agents | Molecular Mechanisms of Pharmacological Action</t>
  </si>
  <si>
    <t>Treatment-Resistant Schizophrenia | Deep Brain Stimulation</t>
  </si>
  <si>
    <t>Patients with Schizophrenia-Like Disorders</t>
  </si>
  <si>
    <t>Schizophrenia | Schizophrenia Spectrum Disorder | Schizophrenia and Related Disorders</t>
  </si>
  <si>
    <t>NCT05416658 - Examining the Effectiveness of a Shared Decision Making Intervention for Antipsychotic Medications to Improve Engagement in Treatment for People Experiencing Early Psychosis</t>
  </si>
  <si>
    <t>Schizophrenia | Schizoaffective Disorder | Schizophreniform Disorders | Delusional Disorder | Other Specified Schizophrenia Spectrum and Other Psychotic Disorder</t>
  </si>
  <si>
    <t>NCT05416658</t>
  </si>
  <si>
    <t>https://clinicaltrials.gov/study/NCT05416658</t>
  </si>
  <si>
    <t>Schizoaffective Disorder | Schizophrenia | Bipolar Disorder | Obstructive Sleep Apnea of Adult</t>
  </si>
  <si>
    <t>Schizophrenia | Bipolar Disorder | Depressive Disorder | Major | Stress Disorder | Post-Traumatic</t>
  </si>
  <si>
    <t>Psychosis Associated with Alzheimer's Disease</t>
  </si>
  <si>
    <t>Psychosis | Schizophrenia | Schizo Affective Disorder | Schizoaffective Disorder | Schizophreniform Disorders | Psychotic Disorders | Psychotic Mood Disorders | Psychoses | Affective | Psychosis Nos/other | Schizophrenia Spectrum and Other Psychotic Disorders</t>
  </si>
  <si>
    <t>Psychotic Disorders | Schizophrenia and Related Disorders</t>
  </si>
  <si>
    <t>Mental Health Issues | Bipolar Disorder | Depressive | Schizophrenia Spectrum and Other Psychotic Disorders | Anxiety Disorder</t>
  </si>
  <si>
    <t>NCT05725785 - Technology-Assisted Implementation of a Mobile Health Program for Serious Mental Illness</t>
  </si>
  <si>
    <t>Schizophrenia | Bipolar Disorder | Major Depressive Disorder | Schizo Affective Disorder</t>
  </si>
  <si>
    <t>NCT05725785</t>
  </si>
  <si>
    <t>https://clinicaltrials.gov/study/NCT05725785</t>
  </si>
  <si>
    <t>NCT05731414 - Cognitive Behavioural Therapy Compared to Cognitive Remediation for Schizophrenia-Spectrum Disorders</t>
  </si>
  <si>
    <t>Schizophrenia | Psychosis | Psychotic Disorders | Schizophrenia; Psychosis</t>
  </si>
  <si>
    <t>NCT05731414</t>
  </si>
  <si>
    <t>https://clinicaltrials.gov/study/NCT05731414</t>
  </si>
  <si>
    <t>Schizophrenia | Schizo Affective Disorder | Schizophreniform Disorders | Delusional Disorder | Other Specified Schizophrenia Spectrum and Other Psychotic Disorder</t>
  </si>
  <si>
    <t>NCT05770375 - Tolerability of MDMA in Schizophrenia</t>
  </si>
  <si>
    <t>NCT05770375</t>
  </si>
  <si>
    <t>https://clinicaltrials.gov/study/NCT05770375</t>
  </si>
  <si>
    <t>NCT05778591 - Low-dose Buprenorphine as a Modulator of Social Motivation in Schizophrenia</t>
  </si>
  <si>
    <t>NCT05778591</t>
  </si>
  <si>
    <t>https://clinicaltrials.gov/study/NCT05778591</t>
  </si>
  <si>
    <t>NCT05823805 - Approaches For ThE pRioritization of Patients in priMAry Care Post-COVID To Reduce Health Inequities (AFTERMATH): Cluster Randomized Controlled Trial</t>
  </si>
  <si>
    <t>NCT05823805</t>
  </si>
  <si>
    <t>https://clinicaltrials.gov/study/NCT05823805</t>
  </si>
  <si>
    <t>Persistent Delusional Disorder | Acute and Transient Psychotic Disorder | Unspecified | Schizophrenia | Schizoaffective Disorder | Other Nonorganic Psychotic Disorders | Unspecified Nonorganic Psychosis</t>
  </si>
  <si>
    <t>NCT05839613 - How Personalized Medicine Based on Pharmacogenetics and Therapeutic Drug Monitoring Can Reduce Relapse Rate in Patients WITH schizophreniA: An Analytical, Experimental, Prospective, Comparative, Adaptive Randomized, Open-label, Multicenter Clinical Trial</t>
  </si>
  <si>
    <t>Patients with Schizophrenia</t>
  </si>
  <si>
    <t>NCT05839613</t>
  </si>
  <si>
    <t>https://clinicaltrials.gov/study/NCT05839613</t>
  </si>
  <si>
    <t>Psychosis | Psychosis Nos/other | Schizophrenia | Schizo Affective Disorder | Schizoaffective Disorder | Prodromal Schizophrenia | Schizophrenia Spectrum and Other Psychotic Disorders | Schizophreniform Disorders | Major Depression with Psychotic Features | Unspecified Psychosis | Bipolar Disorder</t>
  </si>
  <si>
    <t>NCT05956600 - An Open-Label, Single-Arm Clinical Trial Evaluating the Safety and Efficacy of Amisulpride in Treating Patients With Schizophrenia and Schizoaffective Disorder Who Have Treatment-Resistant Positive Symptoms</t>
  </si>
  <si>
    <t>Schizophrenia, Treatment-Resistant</t>
  </si>
  <si>
    <t>NCT05956600</t>
  </si>
  <si>
    <t>https://clinicaltrials.gov/study/NCT05956600</t>
  </si>
  <si>
    <t>Schizophrenia and Related Disorders | Early Treatment-Resistance</t>
  </si>
  <si>
    <t>NCT05974527 - Pilot Study 1: Efficacy and Safety of Sublingual Dexmedetomidine (BXCL501) for the Treatment of Agitation in the Emergency Department</t>
  </si>
  <si>
    <t>Agitation| Schizophrenia | Schizoaffective Disorder | Schizophreniform Disorders | Bipolar Disorder</t>
  </si>
  <si>
    <t>NCT05974527</t>
  </si>
  <si>
    <t>https://clinicaltrials.gov/study/NCT05974527</t>
  </si>
  <si>
    <t>Psychosis | Schizophrenia | At-Risk Mental State | Language Disorders</t>
  </si>
  <si>
    <t>NCT06043778 - Digital Implementation Support to Achieve Uptake and Integration of Task-Shared Care for Schizophrenia in Primary Care in India</t>
  </si>
  <si>
    <t>Schizophrenia | Schizophrenia and Related Disorders | Psychosocial Functioning</t>
  </si>
  <si>
    <t>NCT06043778</t>
  </si>
  <si>
    <t>https://clinicaltrials.gov/study/NCT06043778</t>
  </si>
  <si>
    <t>Schizophrenia | Negative Symptoms in Schizophrenia</t>
  </si>
  <si>
    <t>Negative Symptoms in Schizophrenia</t>
  </si>
  <si>
    <t>Schizophrenia Spectrum Disorders | Psychotic Affective Disorders | Psychotic Mood Disorders | Homelessness | Ill-Housed Persons</t>
  </si>
  <si>
    <t>NCT06155682 - Cognitive and Neural Correlates of TMS Motor Intracortical Inhibition in Schizophrenia</t>
  </si>
  <si>
    <t>NCT06155682</t>
  </si>
  <si>
    <t>https://clinicaltrials.gov/study/NCT06155682</t>
  </si>
  <si>
    <t>NCT06184165 - Stratifying Psychoses for Personalized REpetitive TMS in Persistent NEgative Symptoms Alleviation</t>
  </si>
  <si>
    <t>Schizophrenia | Persistent Negative Symptoms | Progressive Periodic Catatonia | Aviation | Apathy</t>
  </si>
  <si>
    <t>NCT06184165</t>
  </si>
  <si>
    <t>https://clinicaltrials.gov/study/NCT06184165</t>
  </si>
  <si>
    <t>Schizophrenia and Related Disorders | Mitochondrial Alteration | Cognitive Impairment</t>
  </si>
  <si>
    <t>Treatment-Refractory Schizophrenia</t>
  </si>
  <si>
    <t>Treatment-Resistant Schizophrenia | Treatment-Responsive Schizophrenia | Healthy Controls</t>
  </si>
  <si>
    <t>Late Onset Schizophrenia | Delusional Disorder (Late Onset)</t>
  </si>
  <si>
    <t>NCT06361407 - Sensory and Cognitive Predictions, and Their Disruptions in Schizophrenia</t>
  </si>
  <si>
    <t>Schizophrenia | Sensory Processing Disorder</t>
  </si>
  <si>
    <t>NCT06361407</t>
  </si>
  <si>
    <t>https://clinicaltrials.gov/study/NCT06361407</t>
  </si>
  <si>
    <t>NCT06375902 - The Fragility of Metaphors (FraMe): Learning, Loosing, and How to Train Them</t>
  </si>
  <si>
    <t>NCT06375902</t>
  </si>
  <si>
    <t>https://clinicaltrials.gov/study/NCT06375902</t>
  </si>
  <si>
    <t>NCT06376734 - Transdiagnostic Circuit Mapping of Prefrontal Targets in Accelerated Transcranial Magnetic Stimulation</t>
  </si>
  <si>
    <t>Major Depressive Disorder | Obsessive-Compulsive Disorder | Schizophrenia | Generalized Anxiety Disorder | Mood Disorders | Psychiatric Disorder | Mental Disorder | Depression, Anxiety</t>
  </si>
  <si>
    <t>NCT06376734</t>
  </si>
  <si>
    <t>https://clinicaltrials.gov/study/NCT06376734</t>
  </si>
  <si>
    <t>Schizophrenia | Schizophreniform Disorders | Delusional Disorder | Brief Psychotic Disorder | Schizoaffective Disorder | Schizophrenia Spectrum and Other Psychotic Disorders</t>
  </si>
  <si>
    <t>NCT06484387 - Study of Multimodal Intra- and Interpersonal Synchronizations in Social Interaction in Individuals With a Diagnosis of Schizophrenia</t>
  </si>
  <si>
    <t>NCT06484387</t>
  </si>
  <si>
    <t>https://clinicaltrials.gov/study/NCT06484387</t>
  </si>
  <si>
    <t>Hallucinations | Auditory | Schizophrenia Spectrum and Other Psychotic Disorders</t>
  </si>
  <si>
    <t>NCT06515522 - A Biological Signature for the Early Differential Diagnosis of Psychosis: Unveiling the Differences Between Mood Disorders and Schizophrenia With Multimodal Machine Learning Techniques</t>
  </si>
  <si>
    <t>NCT06515522</t>
  </si>
  <si>
    <t>https://clinicaltrials.gov/study/NCT06515522</t>
  </si>
  <si>
    <t>NCT06540833 - A Multicenter, Randomized, Double-blind, Placebo-controlled, Flexible-dose Study to Assess the Efficacy, Safety, and Tolerability of ITI-1284 in Patients With Psychosis Associated With Alzheimer's Disease</t>
  </si>
  <si>
    <t>NCT06540833</t>
  </si>
  <si>
    <t>https://clinicaltrials.gov/study/NCT06540833</t>
  </si>
  <si>
    <t>NCT06562608 - Neural Mechanisms of Anticholinergic Burden in Mid- to Late-Life Schizophrenia Spectrum</t>
  </si>
  <si>
    <t>NCT06562608</t>
  </si>
  <si>
    <t>https://clinicaltrials.gov/study/NCT06562608</t>
  </si>
  <si>
    <t>PMID: 30470592 - Improving the quality of life of care home residents with dementia: Cost-effectiveness of an optimized intervention for residents with clinically significant agitation in dementia</t>
  </si>
  <si>
    <t>Agitation in Dementia</t>
  </si>
  <si>
    <t>PMID: 30470592</t>
  </si>
  <si>
    <t>https://pubmed.ncbi.nlm.nih.gov/30470592</t>
  </si>
  <si>
    <t>Psychosis Related to Alzheimer's Disease</t>
  </si>
  <si>
    <t>PMID: 30872010 - Clinical and cost-effectiveness of the Managing Agitation and Raising Quality of Life (MARQUE) intervention for agitation in people with dementia in care homes: a single-blind, cluster-randomised controlled trial</t>
  </si>
  <si>
    <t>PMID: 30872010</t>
  </si>
  <si>
    <t>https://pubmed.ncbi.nlm.nih.gov/30872010</t>
  </si>
  <si>
    <t>PMID: 31182351 - Randomized Placebo-Controlled Trial of Nabilone for Agitation in Alzheimer's Disease</t>
  </si>
  <si>
    <t>Agitation in Alzheimer's Disease</t>
  </si>
  <si>
    <t>PMID: 31182351</t>
  </si>
  <si>
    <t>https://pubmed.ncbi.nlm.nih.gov/31182351</t>
  </si>
  <si>
    <t>PMID: 31587995 - Escitalopram for agitation in Alzheimer's disease (S-CitAD): Methods and design of an investigator-initiated, randomized, controlled, multicenter clinical trial</t>
  </si>
  <si>
    <t>PMID: 31587995</t>
  </si>
  <si>
    <t>https://pubmed.ncbi.nlm.nih.gov/31587995</t>
  </si>
  <si>
    <t>PMID: 31706786 - The effect of high vs. low dose lurasidone on eye movement biomarkers of prefrontal abilities in treatment-resistant schizophrenia</t>
  </si>
  <si>
    <t>PMID: 31706786</t>
  </si>
  <si>
    <t>https://pubmed.ncbi.nlm.nih.gov/31706786</t>
  </si>
  <si>
    <t>PMID: 31708380 - Efficacy and Safety of Brexpiprazole for the Treatment of Agitation in Alzheimer's Dementia: Two 12-Week, Randomized, Double-Blind, Placebo-Controlled Trials</t>
  </si>
  <si>
    <t>Agitation in Dementia and Alzheimer's Disease</t>
  </si>
  <si>
    <t>PMID: 31708380</t>
  </si>
  <si>
    <t>https://pubmed.ncbi.nlm.nih.gov/31708380</t>
  </si>
  <si>
    <t>PMID: 31835905 - Validation of the French Version of the Auditory Hallucination Rating Scale in a Sample of Hallucinating Patients with Schizophrenia</t>
  </si>
  <si>
    <t>PMID: 31835905</t>
  </si>
  <si>
    <t>https://pubmed.ncbi.nlm.nih.gov/31835905</t>
  </si>
  <si>
    <t>PMID: 32216870 - Dementia Care Mapping™ to reduce agitation in care home residents with dementia: the EPIC cluster RCT</t>
  </si>
  <si>
    <t>PMID: 32216870</t>
  </si>
  <si>
    <t>https://pubmed.ncbi.nlm.nih.gov/32216870</t>
  </si>
  <si>
    <t>PMID: 32279541 - Effectiveness of Dementia Care Mapping™ to reduce agitation in care home residents with dementia: an open-cohort cluster randomised controlled trial</t>
  </si>
  <si>
    <t>PMID: 32279541</t>
  </si>
  <si>
    <t>https://pubmed.ncbi.nlm.nih.gov/32279541</t>
  </si>
  <si>
    <t>PMID: 32729631 - Evaluation of the efficacy of pimavanserin in the treatment of agitation and aggression in patients with Alzheimer's disease psychosis: A post hoc analysis</t>
  </si>
  <si>
    <t>PMID: 32729631</t>
  </si>
  <si>
    <t>https://pubmed.ncbi.nlm.nih.gov/32729631</t>
  </si>
  <si>
    <t>PMID: 32925028 - Real-World Treatment Patterns and Characteristics Among Patients with Agitation and Dementia in the United States: Findings from a Large, Observational, Retrospective Chart Review</t>
  </si>
  <si>
    <t>PMID: 32925028</t>
  </si>
  <si>
    <t>https://pubmed.ncbi.nlm.nih.gov/32925028</t>
  </si>
  <si>
    <t>PMID: 32966585 - Nighttime Agitation and Restless Legs Syndrome in Persons With Alzheimer's Disease: Study Protocol for a Double-Blind, Placebo-Controlled, Randomized Trial (NightRest)</t>
  </si>
  <si>
    <t>PMID: 32966585</t>
  </si>
  <si>
    <t>https://pubmed.ncbi.nlm.nih.gov/32966585</t>
  </si>
  <si>
    <t>PMID: 34059401 - Low Dose Lithium Treatment of Behavioral Complications in Alzheimer's Disease: Lit-AD Randomized Clinical Trial</t>
  </si>
  <si>
    <t>PMID: 34059401</t>
  </si>
  <si>
    <t>https://pubmed.ncbi.nlm.nih.gov/34059401</t>
  </si>
  <si>
    <t>PMID: 34435395 - Bergamot rehabilitation AgaINst agitation in dementia (BRAINAID): Study protocol for a randomized, double-blind, placebo-controlled trial to assess the efficacy of furocoumarin-free bergamot loaded in a nanotechnology-based delivery system of the essential oil in the treatment of agitation in elderly affected by severe dementia</t>
  </si>
  <si>
    <t>PMID: 34435395</t>
  </si>
  <si>
    <t>https://pubmed.ncbi.nlm.nih.gov/34435395</t>
  </si>
  <si>
    <t>PMID: 34902651 - New insight into the CATIE study by constrained confidence partitioning. An innovative technique towards personalized antipsychotic drug therapy in schizophrenia treatment</t>
  </si>
  <si>
    <t>PMID: 34902651</t>
  </si>
  <si>
    <t>https://pubmed.ncbi.nlm.nih.gov/34902651</t>
  </si>
  <si>
    <t>PMID: 35038407 - Pragmatic Trial of Personalized Music for Agitation and Antipsychotic Use in Nursing Home Residents With Dementia</t>
  </si>
  <si>
    <t>PMID: 35038407</t>
  </si>
  <si>
    <t>https://pubmed.ncbi.nlm.nih.gov/35038407</t>
  </si>
  <si>
    <t>PMID: 35137699 - Relapse in Dementia-related Psychosis and Clinical Decisions</t>
  </si>
  <si>
    <t>Dementia-Related Psychosis</t>
  </si>
  <si>
    <t>PMID: 35137699</t>
  </si>
  <si>
    <t>https://pubmed.ncbi.nlm.nih.gov/35137699</t>
  </si>
  <si>
    <t>PMID: 35147535 - The Rationale and Design of Behavioral Interventions for Management of Agitation in Dementia in a Multi-Site Clinical Trial</t>
  </si>
  <si>
    <t>PMID: 35147535</t>
  </si>
  <si>
    <t>https://pubmed.ncbi.nlm.nih.gov/35147535</t>
  </si>
  <si>
    <t>PMID: 35277387 - No benefit from mirtazapine for treating agitation in dementia</t>
  </si>
  <si>
    <t>PMID: 35277387</t>
  </si>
  <si>
    <t>https://pubmed.ncbi.nlm.nih.gov/35277387</t>
  </si>
  <si>
    <t>Schizophrenia | Karxt (Xanomeline-Trospium)</t>
  </si>
  <si>
    <t>PMID: 35956935 - Analgesic Characteristics of NanoBEO Released by an Airless Dispenser for the Control of Agitation in Severe Dementia</t>
  </si>
  <si>
    <t>PMID: 35956935</t>
  </si>
  <si>
    <t>https://pubmed.ncbi.nlm.nih.gov/35956935</t>
  </si>
  <si>
    <t>PMID: 36076584 - NAbiximols Clinical Translation To the treatment of Pain and Agitation In Severe Dementia (NACTOPAISD): Clinical trial protocol</t>
  </si>
  <si>
    <t>PMID: 36076584</t>
  </si>
  <si>
    <t>https://pubmed.ncbi.nlm.nih.gov/36076584</t>
  </si>
  <si>
    <t>PMID: 37732619 - Effects of lithium on serum Brain-Derived Neurotrophic Factor in Alzheimer's patients with agitation</t>
  </si>
  <si>
    <t>PMID: 37732619</t>
  </si>
  <si>
    <t>https://pubmed.ncbi.nlm.nih.gov/37732619</t>
  </si>
  <si>
    <t>PMID: 37929672 - A pragmatic, multicentre, double-blind, placebo-controlled randomised trial to assess the safety, clinical and cost-effectiveness of mirtazapine and carbamazepine in people with Alzheimer's disease and agitated behaviours: the HTA-SYMBAD trial</t>
  </si>
  <si>
    <t>PMID: 37929672</t>
  </si>
  <si>
    <t>https://pubmed.ncbi.nlm.nih.gov/37929672</t>
  </si>
  <si>
    <t>PMID: 38116916 - Impact of the iWHELD digital person-centered care program on quality of life, agitation and psychotropic medications in people with dementia living in nursing homes during the COVID-19 pandemic: A randomized controlled trial</t>
  </si>
  <si>
    <t>PMID: 38116916</t>
  </si>
  <si>
    <t>https://pubmed.ncbi.nlm.nih.gov/38116916</t>
  </si>
  <si>
    <t>PMID: 38427485 - Safety Profile of Pimavanserin Therapy in Elderly Patients with Neurodegenerative Disease-Related Neuropsychiatric Symptoms: A Phase 3B Study</t>
  </si>
  <si>
    <t>PMID: 38427485</t>
  </si>
  <si>
    <t>https://pubmed.ncbi.nlm.nih.gov/38427485</t>
  </si>
  <si>
    <t>PMID: 38941338 - Electroconvulsive therapy for the acute management of severe agitation in dementia (ECT-AD): A modified study protocol</t>
  </si>
  <si>
    <t>PMID: 38941338</t>
  </si>
  <si>
    <t>https://pubmed.ncbi.nlm.nih.gov/38941338</t>
  </si>
  <si>
    <t>https://www.dgbp.de/</t>
  </si>
  <si>
    <t>Alzheimer's Association</t>
  </si>
  <si>
    <t>https://alz.org/media/Documents/scientific-conferences/AAIC-2024-Program-Alzheimers-Association.pdf</t>
  </si>
  <si>
    <t>https://aaic.alz.org/program/2023-scientific-sessions.asp</t>
  </si>
  <si>
    <t>https://aaic.alz.org/program/2022_scientific-sessions.asp</t>
  </si>
  <si>
    <t>https://aaic.alz.org/highlights2021.asp</t>
  </si>
  <si>
    <t>https://aaic.alz.org/releases_2020/overview-release.asp</t>
  </si>
  <si>
    <t>Clinical Trials on Alzheimer's Disease (CTAD)</t>
  </si>
  <si>
    <t>https://www.ctad-alzheimer.com/files/files/ProgramPrel_CTAD2024_16%20juillet.pdf</t>
  </si>
  <si>
    <t>https://www.ctad-alzheimer.com/files/files/Final%20CTAD23%20Program%20Sept%2024.pdf</t>
  </si>
  <si>
    <t>https://www.ctad-alzheimer.com/files/files/ProgramPrel_CTAD2022_4nov.pdf</t>
  </si>
  <si>
    <t>https://www.ctad-alzheimer.com/files/files/Program_CTAD2021_8nov%20%281%29.pdf</t>
  </si>
  <si>
    <t>https://www.ctad-alzheimer.com/files/files/DIGITALprogram_CTAD2020_2nov.pdf</t>
  </si>
  <si>
    <t>Dementia Australia</t>
  </si>
  <si>
    <t>https://www.dementiaconference.com/program</t>
  </si>
  <si>
    <t>International Association of Gerontology and Geriatrics</t>
  </si>
  <si>
    <t>https://iagg2022.org/wp-content/uploads/2022/01/AGENDA-EN-PDF-v10.pdf</t>
  </si>
  <si>
    <t>https://www.ipa-online.org/events/2024-international-congress/program</t>
  </si>
  <si>
    <t>https://www.ipa-online.org/events/2023/program</t>
  </si>
  <si>
    <t>https://www.ipa-online.org/events/annual-congress/past-ipa-congresses</t>
  </si>
  <si>
    <t>Kenes Group</t>
  </si>
  <si>
    <t>https://cslide.ctimeetingtech.com/adpd24/attendee</t>
  </si>
  <si>
    <t>https://cslide.ctimeetingtech.com/adpd23/attendee</t>
  </si>
  <si>
    <t>https://cslide.ctimeetingtech.com/adpd22/attendee/confcal/session/calendar/2022-03-15</t>
  </si>
  <si>
    <t>https://cslide.ctimeetingtech.com/adpd21/attendee/confcal</t>
  </si>
  <si>
    <t>Magnus Group LLC</t>
  </si>
  <si>
    <t>https://alzheimers.magnusconferences.com/speakers/2023</t>
  </si>
  <si>
    <t>https://alzheimers.magnusconferences.com/speakers/2022</t>
  </si>
  <si>
    <t>Mind Authors, Inc.</t>
  </si>
  <si>
    <t>https://dementiaconference.mindauthors.com/feb-2024/</t>
  </si>
  <si>
    <t>Precision Global Conferences</t>
  </si>
  <si>
    <t>https://www.dementiaworldconference.com/scientific-program.php</t>
  </si>
  <si>
    <t>World Dementia Council</t>
  </si>
  <si>
    <t>https://www.worlddementiacouncil.org/programme/2024-WDC-Summit-programme.pdf</t>
  </si>
  <si>
    <t>https://www.worlddementiacouncil.org/sites/default/files/2023-03/Summit%202023%20programme%20v2.pdf</t>
  </si>
  <si>
    <t>https://www.worlddementiacouncil.org/sites/default/files/2022-03/Programme%20-%20WDC%20Summit%202022_4.pdf</t>
  </si>
  <si>
    <t>https://www.worlddementiacouncil.org/sites/default/files/2021-12/Programme%20%5Brevised%5D%20-%20WDC%20Summit%202021_0.pdf</t>
  </si>
  <si>
    <t>Alzheimer Europe</t>
  </si>
  <si>
    <t>https://www.alzheimer-europe.org/conferences/2024-geneva/detailed-programme</t>
  </si>
  <si>
    <t>https://www.alzheimer-europe.org/conferences/past-conferences/2023-helsinki/detailed-programme</t>
  </si>
  <si>
    <t>https://www.alzheimer-europe.org/conferences/past-conferences/2022-bucharest/programme-and-abstracts</t>
  </si>
  <si>
    <t>https://www.alzheimer-europe.org/conferences/past-conferences/2021-online/programme-and-abstracts</t>
  </si>
  <si>
    <t>https://www.alzheimer-europe.org/conferences/past-conferences/2020-online/programme-and-abstracts</t>
  </si>
  <si>
    <t>European Geriatric Medicine Society</t>
  </si>
  <si>
    <t>https://eugms2024.com/wp-content/uploads/2024/08/PROGRAM210824.pdf</t>
  </si>
  <si>
    <t>https://eugms2023.com/wp-content/uploads/2023/09/EuGMS-2023-TIMETABLE-19.09.pdf</t>
  </si>
  <si>
    <t>https://eugms2022.com/wp-content/uploads/2022/09/SCIENTIFICPROGRAM.pdf</t>
  </si>
  <si>
    <t>https://www.eugms.org/2021.html</t>
  </si>
  <si>
    <t>https://www.eugms.org/2020.html</t>
  </si>
  <si>
    <t>International Association of Gerontology and Geriatrics-European Region (IAGG-ER)</t>
  </si>
  <si>
    <t>https://danskgerontologi.dk/aktiviteter/iagger-congress/</t>
  </si>
  <si>
    <t>Canadian Association on Gerontology</t>
  </si>
  <si>
    <t>https://www.cag2024.ca/program</t>
  </si>
  <si>
    <t>https://www.cag2023.ca/_files/ugd/efbed2_85512f2355ae4172aade4c226df30c1c.pdf</t>
  </si>
  <si>
    <t>https://research.sehc.com/news-events/archive/2022/past-conferences</t>
  </si>
  <si>
    <t>https://rehab.queensu.ca/blog/canadian-association-gerontology-conference-2021</t>
  </si>
  <si>
    <t>https://cagacg.ca/asem/cag2020/</t>
  </si>
  <si>
    <t>https://ccnp.ca/Meeting</t>
  </si>
  <si>
    <t>https://ccnp.ca/Content/PDF/CCNP_Program_2023.pdf</t>
  </si>
  <si>
    <t>https://ccnp.ca/Content/PDF/CCNP_Program_2022.pdf</t>
  </si>
  <si>
    <t>https://www.jpn.ca/content/jpn/47/3_Suppl_1/S1.full.pdf</t>
  </si>
  <si>
    <t>Canadian Gerontological Nursing Association</t>
  </si>
  <si>
    <t>https://img1.wsimg.com/blobby/go/2d74e754-926e-4a9b-9930-464ce35de946/downloads/CGNA2023_Program_18-04-2023.pdf?ver=1714519965634</t>
  </si>
  <si>
    <t>https://chapters-igs.rnao.ca/sites/default/files/2020-05/CGNA2021_Prospectus.pdf</t>
  </si>
  <si>
    <t>Francophone Society of Psychogeriatrics and Psychiatry of the Elderly (SF3PA)</t>
  </si>
  <si>
    <t>https://sf3pa-congres.com/wp-content/uploads/2024/05/WEB_EXE_20240530_programme_A5_page.pdf</t>
  </si>
  <si>
    <t>https://sf3pa-congres.com/wp-content/uploads/2023/04/SF3PA2023Programme.pdf</t>
  </si>
  <si>
    <t>https://sf3pa-congres.com/wp-content/uploads/2021/08/SF3PA2021_Prog_Brest.pdf</t>
  </si>
  <si>
    <t>French Society of Geriatrics and Gerontology (SFGG)</t>
  </si>
  <si>
    <t>https://sfgg2024.process.y-congress.com/ScientificProcess/Data/13/538/print/JASFGG2024-fr.pdf</t>
  </si>
  <si>
    <t>https://sfgg2023.process.y-congress.com/ScientificProcess/schedule/?setLng=en</t>
  </si>
  <si>
    <t>https://sfgg2022.process.y-congress.com/ScientificProcess/Data/13/306/print/JASFGG2022-fr.pdf</t>
  </si>
  <si>
    <t>https://sfgg2021.process.y-congress.com/ScientificProcess/schedule/?setLng=en</t>
  </si>
  <si>
    <t>https://sfgg2020.process.y-congress.com/ScientificProcess/Schedule/?setLng=en</t>
  </si>
  <si>
    <t>German Society for Geriatrics (DGG)</t>
  </si>
  <si>
    <t>https://www.geriatrie-kongress.de/files/geriatrie/2023/202309_Frankfurt_DGG-Kongress_Programm.pdf</t>
  </si>
  <si>
    <t>German Society for Geriatrics (DGG) | German Society for Gerontology | German Society for Gerontology and Geriatrics | Swiss Society for Gerontology | German Society for Gerontology and Geriatrics | Swiss Society for Geriatrics</t>
  </si>
  <si>
    <t>https://www.gerontologie-geriatrie-kongress.org/programm.html</t>
  </si>
  <si>
    <t>https://www.ostfalia.de/cms/de/g/.galleries/g_veranstaltungen_2020/202209_FFM_GGK_Programm2.pdf</t>
  </si>
  <si>
    <t>https://www.youtube.com/playlist?list=PLFRd3c1FCNFH5Hm5ygcYGfINpk7g7KjqD</t>
  </si>
  <si>
    <t>https://www.aey-congresse.de/events/dgg-dggg-online-konferenz.html</t>
  </si>
  <si>
    <t>German Society for Neuropsychopharmacology and Pharmacopsychiatry (AGNP) | German Society for Biological Psychiatry (DGBP)</t>
  </si>
  <si>
    <t>https://www.dgbp.de/wp-content/uploads/2024/04/Programmheft-Kongress-DGBP-u.-AGNP-2024_final-1.pdf</t>
  </si>
  <si>
    <t>https://www.dgbp.de/wp-content/uploads/2023/07/Gesamtprogramm2022_Stand_21.8.22.pdf</t>
  </si>
  <si>
    <t>Italian Association of Psychogeriatrics (AIP)</t>
  </si>
  <si>
    <t>https://www.acsamedical.it/wp-content/uploads/2024/05/2024_06_6-8-6%C2%B0-congresso-nazionale-GIOVANI-AIP.pdf</t>
  </si>
  <si>
    <t>https://psicogeriatria.it/congresso-nazionale-aip-2024/</t>
  </si>
  <si>
    <t>https://psicogeriatria.it/xvii-brain-aging/</t>
  </si>
  <si>
    <t>https://psicogeriatria.it/5-congresso-nazionale-giovani-aip/</t>
  </si>
  <si>
    <t>https://www.aipcongresso.it/medias/192-23-congresso-nazionale-aipprogramma.pdf</t>
  </si>
  <si>
    <t>https://www.fitoproject.it/wp-content/uploads/2022/12/napoli-14-16-dicembre-2022.pdf</t>
  </si>
  <si>
    <t>https://psicogeriatria.it/4-congresso-nazionale-giovani-aip/</t>
  </si>
  <si>
    <t>http://2022.aipcongresso.it/medias/172-22-congresso-nazionale-aipprogramma.pdf</t>
  </si>
  <si>
    <t>https://www.piamfarmaceutici.com/wp-content/uploads/2021/09/3%C2%B0-Incontro-Nazionale-AIP-Giovani-Torino-bozza-1608-1-compresso.pdf</t>
  </si>
  <si>
    <t>http://2021.aipcongresso.it/medias/148-21-congresso-naizonale-aipprogramma.pdf</t>
  </si>
  <si>
    <t>https://www.facebook.com/events/833335730820769/?active_tab=discussion</t>
  </si>
  <si>
    <t>https://advenias.it/wp-content/uploads/2020/02/2-Convegno-Nazionale-Giovani-AIP.pdf</t>
  </si>
  <si>
    <t>https://2020.aipcongresso.it/medias/135-20-congresso-nazionale-aip-virtualeprogramma.pdf</t>
  </si>
  <si>
    <t>Italian Society of Biological Psychiatry</t>
  </si>
  <si>
    <t>https://www.sipb.it//struttura/Programma%20FINALE_SIPB_Napoli_2023.pdf</t>
  </si>
  <si>
    <t>Italian Society of Gerontology and Geriatrics (SIGG)</t>
  </si>
  <si>
    <t>https://sigg2024.webaimgroup.eu/programma/</t>
  </si>
  <si>
    <t>https://www.sigg.it/wp-content/uploads/2023/12/SIGG-2023_Programma-Definitivo_SITO.pdf</t>
  </si>
  <si>
    <t>https://www.sigg.it/wp-content/uploads/2022/11/SIGG_2022_Programma_Definitivo.pdf</t>
  </si>
  <si>
    <t>https://www.sigg.it/wp-content/uploads/2021/11/SIGG2021_Programma-Definitivo_rev13.pdf</t>
  </si>
  <si>
    <t>https://www.sigg.it/wp-content/uploads/2021/01/SIGG2020_programma-scientifico_12.01.2021.pdf</t>
  </si>
  <si>
    <t>https://sinpf2024.it/programma.pdf</t>
  </si>
  <si>
    <t>https://sinpf2023.it/programma.pdf</t>
  </si>
  <si>
    <t>https://www.sigo.it/wp-content/uploads/2022/01/23%C2%B0SINPF_congresso_virtuale_2022.pdf</t>
  </si>
  <si>
    <t>https://www.morecomunicazione.it/wp-content/uploads/2020/08/xxii-congresso-nazionale-sinpf.pdf</t>
  </si>
  <si>
    <t>https://sinpf.it/wp-content/uploads/2020/01/Programma-SINPF-2020-Ultimo.pdf</t>
  </si>
  <si>
    <t>Japan Academy of Gerontological Nursing</t>
  </si>
  <si>
    <t>https://www.rounenkango.com/shuukai/29kai/pro.html</t>
  </si>
  <si>
    <t>https://www.rounenkango.com/shuukai/28kai/pro.html#link02</t>
  </si>
  <si>
    <t>https://www.rounenkango.com/shuukai/27kai/pro.htm</t>
  </si>
  <si>
    <t>https://www.rounenkango.com/shuukai/26kai/index.htm</t>
  </si>
  <si>
    <t>https://www.rounenkango.com/shuukai/25kai/pro.htm</t>
  </si>
  <si>
    <t>Japan Geriatrics Society</t>
  </si>
  <si>
    <t>https://www.congre.co.jp/66jgs2024/program/images/66jgs_program_sitei.pdf</t>
  </si>
  <si>
    <t>https://www.jpn-geriat-soc.or.jp/shukai_tihou/shukai/boshu_65.html</t>
  </si>
  <si>
    <t>https://www.congre.co.jp/64jgs/data/prog_sponsor.pdf</t>
  </si>
  <si>
    <t>https://site2.convention.co.jp/63jgs/program/</t>
  </si>
  <si>
    <t>http://jgs62.umin.jp/program.html</t>
  </si>
  <si>
    <t>Spanish Society of Geriatric and Gerontological Nursing</t>
  </si>
  <si>
    <t>https://seegg.es/congresos-seegg/congreso-seegg-2024/</t>
  </si>
  <si>
    <t>https://www.enferalba.com/files/sabiasque/documentos/seegg2023programav1.pdf</t>
  </si>
  <si>
    <t>https://seegg.es/wp-content/uploads/2022/03/SEEGG-2022-Programa-v7-1.pdf</t>
  </si>
  <si>
    <t>https://seegg.es/wp-content/uploads/2021/04/SEEGG_2021_Programa_v9.pdf</t>
  </si>
  <si>
    <t>Spanish Society of Geriatrics and Gerontology</t>
  </si>
  <si>
    <t>https://geriatria2023.com/images/site/QR-Programa_SEGG_A5.pdf</t>
  </si>
  <si>
    <t>Spanish Society of Geriatrics and Gerontology | Andalusian Society of Geriatrics and Gerontology</t>
  </si>
  <si>
    <t>https://geriatria2024.com/images/site/QR_ProgramaSEGG_2024.pdf</t>
  </si>
  <si>
    <t>Spanish Society of Geriatrics and Gerontology | Madrid Society of Geriatrics and Gerontology</t>
  </si>
  <si>
    <t>https://www.geriatria2022.com/images/site/Programa_SEGG.pdf</t>
  </si>
  <si>
    <t>Spanish Society of Psychogeriatrics (SEPG)</t>
  </si>
  <si>
    <t>https://congreso2024.sepg.es/pagina/programa</t>
  </si>
  <si>
    <t>https://congreso2023.sepg.es/pagina/programa</t>
  </si>
  <si>
    <t>https://congreso2022.sepg.es/pagina/programa</t>
  </si>
  <si>
    <t>Alzheimer's Research UK</t>
  </si>
  <si>
    <t>https://www.alzheimersresearchuk.org/research/for-researchers/research-conference/past-events/research-conference-2024/scientific-programme-2024/</t>
  </si>
  <si>
    <t>https://www.alzheimersresearchuk.org/research/for-researchers/research-conference/past-events/research-conference-2023/scientific-programme-2023/</t>
  </si>
  <si>
    <t>https://www.alzheimersresearchuk.org/research/for-researchers/research-conference/past-events/2022-conference/scientific-programme-2022/</t>
  </si>
  <si>
    <t>https://ukdri.ac.uk/events/alzheimers-research-uk-conference-2021</t>
  </si>
  <si>
    <t>British Geriatrics Society</t>
  </si>
  <si>
    <t>https://www.bgs.org.uk/sites/default/files/content/events/files/2024_Spring_Prog%202_28.pdf</t>
  </si>
  <si>
    <t>https://www.bgs.org.uk/events/2024-autumn-meeting</t>
  </si>
  <si>
    <t>https://www.bgs.org.uk/sites/default/files/content/events/files/2023_Spring_Programme%202_6.pdf</t>
  </si>
  <si>
    <t>https://www.bgs.org.uk/sites/default/files/content/events/files/2023_Autumn_Prog_34.pdf</t>
  </si>
  <si>
    <t>https://www.bgs.org.uk/sites/default/files/content/events/files/2022_Spring_Online_Programme_26.pdf</t>
  </si>
  <si>
    <t>https://www.bgs.org.uk/sites/default/files/content/events/files/2022_Autumn_Hybrid_Programme_30.pdf</t>
  </si>
  <si>
    <t>https://www.bgs.org.uk/events/spring-meeting-2021</t>
  </si>
  <si>
    <t>https://www.bgs.org.uk/sites/default/files/content/events/files/2021_Autumn_Online_Programme_Final_19.pdf</t>
  </si>
  <si>
    <t>https://www.bgs.org.uk/sites/default/files/content/events/files/2020_Aut_Overview_Virtual_7.pdf</t>
  </si>
  <si>
    <t>British Society of Gerontology</t>
  </si>
  <si>
    <t>https://www.britishgerontology.org/events-and-courses/bsg-annual-conference</t>
  </si>
  <si>
    <t>https://www.britishgerontology.org/events-and-courses/past-conferences/2023-uea-norwich</t>
  </si>
  <si>
    <t>https://www.britishgerontology.org/events-and-courses/past-conferences/2022-uwe-bristol</t>
  </si>
  <si>
    <t>https://www.britishgerontology.org/events-and-courses/past-conferences/2021-lancaster</t>
  </si>
  <si>
    <t>https://www.britishgerontology.org/events-and-courses/past-conferences/2020-online-conference</t>
  </si>
  <si>
    <t>Alzheimer's Drug Discovery Foundation</t>
  </si>
  <si>
    <t>https://www.alzdiscovery.org/events/event/22nd-international-conference-on-alzheimers-drug-discovery</t>
  </si>
  <si>
    <t>https://www.alzdiscovery.org/events/event/21st-international-conference-on-alzheimers-drug-discovery</t>
  </si>
  <si>
    <t>American Geriatrics Society</t>
  </si>
  <si>
    <t>https://meeting.americangeriatrics.org/program/schedule-glance</t>
  </si>
  <si>
    <t>https://meeting.americangeriatrics.org/2023-meeting-programs</t>
  </si>
  <si>
    <t>https://www.americangeriatrics.org/opportunities/2022-ags-annual-scientific-meeting</t>
  </si>
  <si>
    <t>https://agsjournals.onlinelibrary.wiley.com/doi/10.1111/jgs.17116</t>
  </si>
  <si>
    <t>Gerontological Advanced Practice Nurses Association</t>
  </si>
  <si>
    <t>https://ajj.swoogo.com/gapna24/5696283</t>
  </si>
  <si>
    <t>https://www.gapna.org/sites/default/files/documents/conference/2023/2023_annual_brochure.pdf</t>
  </si>
  <si>
    <t>https://www.gapna.org/sites/default/files/documents/conference/2022/2022_annual_brochure.pdf</t>
  </si>
  <si>
    <t>https://www.gapna.org/sites/default/files/documents/conference/2021/2021_annual_brochure.pdf</t>
  </si>
  <si>
    <t>https://www.gapna.org/learning/events/annual-conference/2020-annual-conference</t>
  </si>
  <si>
    <t>Gerontological Society of America</t>
  </si>
  <si>
    <t>https://www.gsa2024.org/Program</t>
  </si>
  <si>
    <t>https://gsa2023.eventscribe.net/agenda.asp?pfp=PresentationsFullSched</t>
  </si>
  <si>
    <t>https://www.eventscribe.net/2022/GSA2022/agenda.asp?pfp=EdHarvSchedule</t>
  </si>
  <si>
    <t>https://gero.usc.edu/event/gsa-2021-annual-scientific-meeting/</t>
  </si>
  <si>
    <t>https://www.johnahartford.org/dissemination-center/view/gsa-2020-annual-scientific-meeting-online</t>
  </si>
  <si>
    <t>https://pmg.joynadmin.org/documents/1036/66397cae2036d74f70327fd2.pdf</t>
  </si>
  <si>
    <t>https://pmg.joynadmin.org/documents/1036/642af623c8c95a5d94196de2.pdf</t>
  </si>
  <si>
    <t>https://experts.colorado.edu/display/conference_01481199230</t>
  </si>
  <si>
    <t>https://www.biologicalpsychiatryjournal.com/article/S0006-3223(21)01107-0/abstract</t>
  </si>
  <si>
    <t>https://nncionline.org/event/2020-society-of-biological-psychiatry-sobp-annual-meeting-new-york-ny/</t>
  </si>
  <si>
    <t>UsAgainstAlzheimer’s</t>
  </si>
  <si>
    <t>https://www.usagainstalzheimers.org/AlzSummit</t>
  </si>
  <si>
    <t>https://www.usa2summit.org/#schedule</t>
  </si>
  <si>
    <t>https://www.usa2summit.org/archives/2022/home-2022#schedule</t>
  </si>
  <si>
    <t>https://www.usa2summit.org/archives/2021/home-2021</t>
  </si>
  <si>
    <t>https://www.usa2summit.org/archives/2020/home-2020#schedule</t>
  </si>
  <si>
    <t>Canadian Geriatrics Society</t>
  </si>
  <si>
    <t>https://canadiangeriatrics.ca/2024-Program</t>
  </si>
  <si>
    <t>https://canadiangeriatrics.ca/2023-Program</t>
  </si>
  <si>
    <t>https://canadiangeriatrics.ca/2022-Program</t>
  </si>
  <si>
    <t>Adherence</t>
  </si>
  <si>
    <t>Organization</t>
  </si>
  <si>
    <t>https://www.nice.org.uk/guidance/ta213/resources/aripiprazole-for-the-treatment-of-schizophrenia-in-people-aged-15to17years-pdf-82600247981509</t>
  </si>
  <si>
    <t>https://www.cda-amc.ca/</t>
  </si>
  <si>
    <t>https://www.england.nhs.uk/commissioning/spec-services/npc-crg/group-c/</t>
  </si>
  <si>
    <t>https://www.iqwig.de/</t>
  </si>
  <si>
    <t>https://www.epicanada.org/</t>
  </si>
  <si>
    <t>Professional_Organization</t>
  </si>
  <si>
    <t>Patient_Organization</t>
  </si>
  <si>
    <t>Norway</t>
  </si>
  <si>
    <t>General</t>
  </si>
  <si>
    <t>Schizophrenia | Tobacco Smoking in Schizophrenic Patients</t>
  </si>
  <si>
    <t>Schizophrenia | Antipsychotic-Induced Weight Gain (AIWG)</t>
  </si>
  <si>
    <t>Schizophrenia | Schizophrenic Disorders</t>
  </si>
  <si>
    <t>Schizophrenia Spectrum Disorders | Suicide | Psychosis</t>
  </si>
  <si>
    <t>Schizophrenia | Psychotic Disorders | Executive Dysfunction</t>
  </si>
  <si>
    <t>Schizophrenia | Electroconvulsive Therapy Treated Patients</t>
  </si>
  <si>
    <t>Schizophrenia | Basic Auditory Processes | Emotional Perception | Source Monitoring Deficits</t>
  </si>
  <si>
    <t>Schizophrenia | Cognitive Impairment with Primary Psychotic Disorder | Negative Symptoms with Primary Psychotic Disorder</t>
  </si>
  <si>
    <t>Schizophrenia | Autism Spectrum Disorder | Psychosis | Social Communication</t>
  </si>
  <si>
    <t>Schizophrenia | Psychiatric Disorder</t>
  </si>
  <si>
    <t>Schizophrenic Spectrum Disorders  | Psychotic Disorders</t>
  </si>
  <si>
    <t>Schizophrenia | Social Cognition</t>
  </si>
  <si>
    <t>Schizophrenia | Clinical High Risk | Psychosis | Remission | Conversion</t>
  </si>
  <si>
    <t>Schizophrenia | Auditory Hallucinations</t>
  </si>
  <si>
    <t>Schizophrenia | Smoking Cessation</t>
  </si>
  <si>
    <t>Cognitive Impairment Associated with Schizophrenia | Cognitive Impairment | Schizophrenia</t>
  </si>
  <si>
    <t>Apathy | Schizophrenia | Psychosis</t>
  </si>
  <si>
    <t>Alzheimer's Disease | Cognitive Impairment Associated with Schizophrenia</t>
  </si>
  <si>
    <t>Alzheimer's Disease | Alzheimer's Disease with Delusions | Alzheimer's Disease with Psychosis</t>
  </si>
  <si>
    <t>Agitation | Schizophrenia | Schizoaffective Disorder | Schizophreniform Disorders</t>
  </si>
  <si>
    <t>Paranoid Schizophrenia | Psychotic Disorders | Psychosis Syndrome</t>
  </si>
  <si>
    <t>Metabolic Syndrome | Antipsychotics | Schizophrenia | Bipolar Disorder | Neurodevelopmental Disorder</t>
  </si>
  <si>
    <t>Agitation Psychomotor | Bipolar I Disorder | Bipolar II Disorder | Schizophrenia | Schizoaffective Disorder | Schizophreniform Disorders</t>
  </si>
  <si>
    <t>Alzheimer's Disease &amp; Agitated Behaviours | Dementia</t>
  </si>
  <si>
    <t>Major Depressive Disorder | Schizophrenia</t>
  </si>
  <si>
    <t>Schizophrenia | Schizoaffective Disorder | Depression | Major Depressive Disorder</t>
  </si>
  <si>
    <t>Schizophrenia Spectrum Disorders | Other Psychotic Disorders</t>
  </si>
  <si>
    <t>Sleep Problems | Schizophrenia Spectrum Disorders</t>
  </si>
  <si>
    <t>Schizophrenia | Other Psychotic Disorder | Schizophrenia Spectrum Disorder</t>
  </si>
  <si>
    <t>Schizophrenia Spectrum Disorders | Other Psychotic Disorders | Bipolar and Related Disorders | Depressive Disorder | Anxiety Disorders | Personality Disorders | Attention Deficit Hyperactivity Disorder</t>
  </si>
  <si>
    <t>Schizophrenia | Mood Disorders</t>
  </si>
  <si>
    <t>Schizophrenia Spectrum Disorder | Schizo Affective Disorder with Psychotic Symptoms</t>
  </si>
  <si>
    <t>https://www.health-ni.gov.uk/articles/about-medicines-regulatory-group#toc-1</t>
  </si>
  <si>
    <t>https://www.jle.com/fr/revues/gpn/revue.phtml</t>
  </si>
  <si>
    <t>https://www.thelancet.com/journals/lanhl/home</t>
  </si>
  <si>
    <t>https://www.aginganddisease.org/EN/2152-5250/home.shtml</t>
  </si>
  <si>
    <t>https://academic.oup.com/ageing</t>
  </si>
  <si>
    <t>https://www.jahonline.org/</t>
  </si>
  <si>
    <t>https://www.nature.com/npjamd/</t>
  </si>
  <si>
    <t>https://aging.jmir.org/</t>
  </si>
  <si>
    <t>https://academic.oup.com/psychsocgerontology</t>
  </si>
  <si>
    <t>https://academic.oup.com/gerontologist</t>
  </si>
  <si>
    <t>https://academic.oup.com/biomedgerontology</t>
  </si>
  <si>
    <t>https://link.springer.com/journal/10433</t>
  </si>
  <si>
    <t>https://eurapa.biomedcentral.com/about</t>
  </si>
  <si>
    <t>https://www.sciencedirect.com/journal/neurobiology-of-aging</t>
  </si>
  <si>
    <t>https://link.springer.com/journal/40520</t>
  </si>
  <si>
    <t>https://link.springer.com/journal/40266</t>
  </si>
  <si>
    <t>https://link.springer.com/journal/42415</t>
  </si>
  <si>
    <t>https://www.tandfonline.com/journals/wcli20</t>
  </si>
  <si>
    <t>https://www.cambridge.org/core/journals/ageing-and-society</t>
  </si>
  <si>
    <t>https://onlinelibrary.wiley.com/journal/24750360</t>
  </si>
  <si>
    <t>https://journals.sagepub.com/home/jah</t>
  </si>
  <si>
    <t>https://journals.sagepub.com/home/jag</t>
  </si>
  <si>
    <t>https://journals.sagepub.com/home/roa</t>
  </si>
  <si>
    <t>https://www.cambridge.org/core/journals/canadian-journal-on-aging-la-revue-canadienne-du-vieillissement</t>
  </si>
  <si>
    <t>https://www.tandfonline.com/journals/wjwa20</t>
  </si>
  <si>
    <t>https://onlinelibrary.wiley.com/journal/9025</t>
  </si>
  <si>
    <t>https://www.tandfonline.com/journals/uear20</t>
  </si>
  <si>
    <t>https://journals.humankinetics.com/view/journals/japa/japa-overview.xml</t>
  </si>
  <si>
    <t>https://link.springer.com/journal/10823</t>
  </si>
  <si>
    <t>https://journals.sagepub.com/home/ahd</t>
  </si>
  <si>
    <t>https://www.tandfonline.com/journals/uedg20</t>
  </si>
  <si>
    <t>https://link.springer.com/journal/391</t>
  </si>
  <si>
    <t>https://journals.healio.com/journal/rgn</t>
  </si>
  <si>
    <t>https://www.sciencedirect.com/journal/npg-neurologie-psychiatrie-geriatrie</t>
  </si>
  <si>
    <t>https://onlinelibrary.wiley.com/journal/3035</t>
  </si>
  <si>
    <t>https://www.jstage.jst.go.jp/browse/geriatrics/-char/en</t>
  </si>
  <si>
    <t>https://adolescenthealth.org/</t>
  </si>
  <si>
    <t>Injectable Drugs</t>
  </si>
  <si>
    <t>https://www.ecdc.europa.eu/en</t>
  </si>
  <si>
    <t>https://www.thelancet.com/lanpsy/about</t>
  </si>
  <si>
    <t>https://www.thieme-connect.com/products/ejournals/journal/10.1055/s-00000071</t>
  </si>
  <si>
    <t>https://www.neurology.org/journal/wnl</t>
  </si>
  <si>
    <t>https://psychiatryonline.org/doi/epdf/10.1176/appi.books.9780890424841</t>
  </si>
  <si>
    <t>https://cslide.ctimeetingtech.com/wcp21/attendee/confcal/session/list</t>
  </si>
  <si>
    <t>https://cslide.ctimeetingtech.com/wcp20/attendee/confcal/session/list</t>
  </si>
  <si>
    <t>https://www.c-linkage.co.jp/jspn119/doc/program_collection.pdf?2306061122</t>
  </si>
  <si>
    <t>https://www.congre.co.jp/jspn117/program.html</t>
  </si>
  <si>
    <t>https://www.c-linkage.co.jp/jspn116/pdf/program_all.pdf</t>
  </si>
  <si>
    <t>https://view.flipdocs.com/?ID=10026226_240780</t>
  </si>
  <si>
    <t>https://www.ibnsconnect.org/ibns-2024-program</t>
  </si>
  <si>
    <t>https://ean-apps.m-anage.com/ean2024/en-GB/PAG</t>
  </si>
  <si>
    <t>https://ean-apps.m-anage.com/ean2023/en-GB/PAG</t>
  </si>
  <si>
    <t>https://dgps2024.univie.ac.at/fileadmin/user_upload/k_dgps2020/Programmheft_14092024.pdf</t>
  </si>
  <si>
    <t>https://static1.squarespace.com/static/6667327a01d03c100e178276/t/66a98090a8da76383215b6b6/1722384529051/CGS+2021+ASM+FULL+Program+Virtual.pdf</t>
  </si>
  <si>
    <t>ANAVEX3-71/ AF-710B</t>
  </si>
  <si>
    <t>ML-007C-MA/ ML-007 PAC</t>
  </si>
  <si>
    <t>Cognitive Remediation</t>
  </si>
  <si>
    <t>First-Generation Antipsychotics/ FGAs/ Conventional Antipsychotics/ Typical Antipsychotics</t>
  </si>
  <si>
    <t>Antipsychotic Drugs/ Neuroleptics</t>
  </si>
  <si>
    <t>https://www.sciencedirect.com/journal/revista-espanola-de-geriatria-y-gerontologia/about/editorial-board</t>
  </si>
  <si>
    <t>https://bipeek-resources-onsite-prd.s3.amazonaws.com/31344/FANPSE-PROGRAMA.pdf?v=1686750559</t>
  </si>
  <si>
    <t>Activity_Title</t>
  </si>
  <si>
    <t>Disease_Type</t>
  </si>
  <si>
    <t>https://cemh.lbpsb.qc.ca/fr-ca/Promouvoir-la-sant%C3%A9-mentale</t>
  </si>
  <si>
    <t>https://ceymh-cesmj.ca/fr/</t>
  </si>
  <si>
    <t>https://www.ontariohealth.ca/about-us/our-programs/clinical-quality-programs/mental-health-addictions</t>
  </si>
  <si>
    <t>https://www.stjoes.ca/health-services/mental-health-addiction-services/mental-health-services/schizophrenia-community-integration-service-scis-</t>
  </si>
  <si>
    <t>https://www.theroyal.ca/patient-care-information/clinics-services-programs/schizophrenia-recovery-program</t>
  </si>
  <si>
    <t>https://www.fondation-fondamental.org/system/files/2023-11/plaquette_ce_schizo_besan%C3%A7on-%202023.pdf</t>
  </si>
  <si>
    <t>https://www.fondation-fondamental.org/system/files/plaquette_ce_schizo_bordeaux-2021.pdf</t>
  </si>
  <si>
    <t>https://www.fondation-fondamental.org/system/files/plaquette_ce_schizo_versailles-2021.pdf</t>
  </si>
  <si>
    <t>Mental Illness</t>
  </si>
  <si>
    <t>https://www.ghu-paris.fr/fr/actualites/le-cjaad-detection-precoce-et-le-cenpare-pathologies-resistantes-labellises-centres</t>
  </si>
  <si>
    <t>Schizophrenia | Mood Disorder</t>
  </si>
  <si>
    <t>https://www.ch-lerouvray.fr/actualites/labellisation-de-2-centres-dexcellence-par-linstitut-de-psychiatrie</t>
  </si>
  <si>
    <t>https://www.fondation-fondamental.org/system/files/2023-11/plaquette_ce_schizo_toulouse-%202023.pdf</t>
  </si>
  <si>
    <t>Psychosis</t>
  </si>
  <si>
    <t>https://www.chu-caen.fr/centres/camp/#onglet3</t>
  </si>
  <si>
    <t>https://www.fondation-fondamental.org/system/files/2024-01/plaquette_ce_schizo_marseille_01.2024.pdf</t>
  </si>
  <si>
    <t>https://www.fondation-fondamental.org/system/files/plaquette_ce_schizo_saint_etienne-2022.pdf</t>
  </si>
  <si>
    <t>https://www.fondation-fondamental.org/system/files/plaquette_ce_schizo_colombes-2021.pdf</t>
  </si>
  <si>
    <t>https://www.fondation-fondamental.org/system/files/plaquette_ce_schizo_creteil-2021.pdf</t>
  </si>
  <si>
    <t>https://www.fondation-fondamental.org/system/files/plaquette_ce_schizo_strasbourg-2021.pdf</t>
  </si>
  <si>
    <t>https://www.fondation-fondamental.org/system/files/plaquette_ce_schizo_clermont-2021.pdf</t>
  </si>
  <si>
    <t>https://centre-ressource-rehabilitation.org/centre-esquirol</t>
  </si>
  <si>
    <t>https://www.fondation-fondamental.org/system/files/plaquette_ce_schizo_montpellier-2021.pdf</t>
  </si>
  <si>
    <t>https://www.fondation-fondamental.org/system/files/plaquette_ce_schizo_grenoble_12.2022_3_1.pdf</t>
  </si>
  <si>
    <t>https://www.fondation-fondamental.org/system/files/2024-10/plaquette_ce_schizo_bron-Le%20Vinatier%20%E2%80%93%20Psychiatrie%20Universitaire%20Lyon%20M%C3%A9tropole.pdf</t>
  </si>
  <si>
    <t>https://www.uke.de/kliniken-institute/kliniken/psychiatrie-und-psychotherapie/unterstuetzung-und-spende/schizophrenie-forschung.html</t>
  </si>
  <si>
    <t>Schizophrenia | Dementia</t>
  </si>
  <si>
    <t>https://www.lmu-klinikum.de/psychiatrie-und-psychotherapie</t>
  </si>
  <si>
    <t>https://www.kns.kompetenznetz-schizophrenie.info/drupal/files/Newsletter_KNS_14.pdf</t>
  </si>
  <si>
    <t>https://www.asst-santipaolocarlo.it/psichiatria-51-/-52</t>
  </si>
  <si>
    <t>Schizophrenic Disorders | Psychotic Disorders</t>
  </si>
  <si>
    <t>https://www.policlinico.mi.it/reparti/61/psichiatria</t>
  </si>
  <si>
    <t>Schizophrenia | Psychiatry</t>
  </si>
  <si>
    <t>https://www.ospedaleniguarda.it/strutture/info/psichiatria-1</t>
  </si>
  <si>
    <t>https://neomesia.com/casa-cima</t>
  </si>
  <si>
    <t>https://www.casadicuralebetulle.it/aree-terapeutiche/psichiatria/</t>
  </si>
  <si>
    <t>https://www.sancamillomilano.com/prestazioni/visita-psichiatrica/</t>
  </si>
  <si>
    <t>https://www.asst-fbf-sacco.it/reparti-e-servizi/info/psichiatria-1</t>
  </si>
  <si>
    <t>Schizophrenia | Psychosis | Psychogeriatrics</t>
  </si>
  <si>
    <t>https://www.hsr.it/strutture/san-raffaele-turro/centro-disturbi-psicotici</t>
  </si>
  <si>
    <t>https://www.ncnp.go.jp/hospital/guide/sd/edics.html</t>
  </si>
  <si>
    <t>https://cipsmalaga.com/tratamiento-esquizofrenia-psicosis-malaga/</t>
  </si>
  <si>
    <t>Schizophrenia | Psychoses | Delusional Disorder | Psychogeriatrics</t>
  </si>
  <si>
    <t>https://www.fjd.es/es/cartera-servicios/psiquiatria-psicologia-clinica</t>
  </si>
  <si>
    <t>Schizophrenia | Severe Mental Disorder | Psychogeriatrics</t>
  </si>
  <si>
    <t>https://www.comunidad.madrid/hospital/12octubre/noticia/tratamiento-esquizofrenia-hospital-12-octubre-premio-best-in-class</t>
  </si>
  <si>
    <t>https://www.clinicbarcelona.org/unidad/esquizofrenia</t>
  </si>
  <si>
    <t>https://www.comunidad.madrid/hospital/gregoriomaranon/profesionales/instituto-psiquiatria-salud-mental/psiquiatria-nino-adolescente</t>
  </si>
  <si>
    <t>https://www.cpft.nhs.uk/psychosis-centre/</t>
  </si>
  <si>
    <t>Psychosis | Dementia</t>
  </si>
  <si>
    <t>https://researchcentres.city.ac.uk/centre-for-mental-health-research</t>
  </si>
  <si>
    <t>https://www.cardiff.ac.uk/centre-neuropsychiatric-genetics-genomics</t>
  </si>
  <si>
    <t>Schizophrenia | Psychotic Disorders | Mental Illness</t>
  </si>
  <si>
    <t>https://www.kcl.ac.uk/academic-psychiatry/about/departments/psychosis</t>
  </si>
  <si>
    <t>Psychiatry</t>
  </si>
  <si>
    <t>https://www.ucl.ac.uk/psychiatry/division-psychiatry?gridset=show</t>
  </si>
  <si>
    <t>Mental Health | Schizophrenia | Psychosis</t>
  </si>
  <si>
    <t>https://institutemh.org.uk/about/vision-and-mission</t>
  </si>
  <si>
    <t>https://slam.nhs.uk/service-detail/service/national-psychosis-service-inpatients-119/</t>
  </si>
  <si>
    <t>Psychiatry | Schizophrenia</t>
  </si>
  <si>
    <t>https://www.sane.org.uk/understanding-mental-illness/research-mind-brain/powic</t>
  </si>
  <si>
    <t>https://sloanecourtclinic.com/</t>
  </si>
  <si>
    <t>https://www.neomed.edu/bestcenter/</t>
  </si>
  <si>
    <t>https://mghcoe.com/</t>
  </si>
  <si>
    <t>Mental Health</t>
  </si>
  <si>
    <t>https://www.mirecc.va.gov/CESAMH/index.asp</t>
  </si>
  <si>
    <t>Serious Mental Illness</t>
  </si>
  <si>
    <t>https://healthandwelfare.idaho.gov/coe</t>
  </si>
  <si>
    <t>https://www.hopkinsmedicine.org/inhealth/psychosis</t>
  </si>
  <si>
    <t>Schizophrenia | Schizoaffective Disorders</t>
  </si>
  <si>
    <t>https://www.hopkinsmedicine.org/news/articles/2022/08/new-center-aims-to-bolster-treatment-of-schizoaffective-disorders</t>
  </si>
  <si>
    <t>https://www.columbiapsychiatry.org/research/research-centers-interdisciplinary-programs/lieber-center-schizophrenia-research-and-treatment</t>
  </si>
  <si>
    <t>https://www.mirecc.va.gov/visn22/</t>
  </si>
  <si>
    <t>https://montefioreeinstein.org/patient-care/services/psychiatry</t>
  </si>
  <si>
    <t>https://schizophrenia.pocn.com/</t>
  </si>
  <si>
    <t>https://www.bidmc.org/research/research-by-department/psychiatry/psychosis-research-program/prp-history</t>
  </si>
  <si>
    <t>https://instituteofliving.org/programs-services/schizophrenia-treatment-services</t>
  </si>
  <si>
    <t>https://coementalhealth.com/schizophrenia/</t>
  </si>
  <si>
    <t>https://www.wa-ceep.org/</t>
  </si>
  <si>
    <t>https://www.semel.ucla.edu/psychosis/</t>
  </si>
  <si>
    <t>https://www.med.unc.edu/psych/cecmh/about-us/</t>
  </si>
  <si>
    <t>https://www.elisplace.org/our-solution/therapeutic-model/</t>
  </si>
  <si>
    <t>https://ravensview.com/</t>
  </si>
  <si>
    <t>https://www.ontarioshores.ca/what-expect/while-treatment/psychosis-or-schizophrenia-treament-and-recovery</t>
  </si>
  <si>
    <t>https://www.prhc.on.ca/healthcare-services/mental-health-addictions/psychosis_assessment_treatment_clinic/</t>
  </si>
  <si>
    <t>https://www.sunshinecoasthealthcentre.ca/our-approach/</t>
  </si>
  <si>
    <t>https://www.clinique-anouste.fr/</t>
  </si>
  <si>
    <t>Psychotic Disorders</t>
  </si>
  <si>
    <t>https://clinique-aufrery.com/prises-en-charges/</t>
  </si>
  <si>
    <t>https://www.clinique-bellerive.fr/les-pathologies-soignees/psychose/</t>
  </si>
  <si>
    <t>https://clinique-bethanie.fr/</t>
  </si>
  <si>
    <t>https://caradoc.fr/pathologies_prise_en_charge.php</t>
  </si>
  <si>
    <t>https://www.clinique-portes-eure.com/spectre-de-la-schizophrenie-_r_116.html</t>
  </si>
  <si>
    <t>https://www.emeis-cliniques.fr/clinique-les-oyats-calais-62/traitements-et-soins</t>
  </si>
  <si>
    <t>https://www.clinique-nogent.com/</t>
  </si>
  <si>
    <t>https://www.fhp-hautsdefrance.com/annuaire/centre-robert-schuman/</t>
  </si>
  <si>
    <t>https://www.cliniquesdesaujon.com/</t>
  </si>
  <si>
    <t>https://clinique-cedres-toulouse.ramsaysante.fr/vous-etes-patient-pourquoi-choisir-notre-etablissement-tous-nos-soins/schizophrenie</t>
  </si>
  <si>
    <t>https://www.valfleur.fr/maison+d+accueil+pour+schizophrene+allauch-z13</t>
  </si>
  <si>
    <t>https://www.cmva92.com/</t>
  </si>
  <si>
    <t>https://www.asklepios.com/hamburg/nord/psychiatrie-ochsenzoll/</t>
  </si>
  <si>
    <t>https://www.awo-psychiatriezentrum.de/</t>
  </si>
  <si>
    <t>https://www.akutklinik-badsaulgau.de/</t>
  </si>
  <si>
    <t>https://www.salus-lsa.de/kliniken-einrichtungen-leistungen/fachklinikum-bernburg/kliniken-leistungen/kliniken/psychiatrie-und-psychotherapie/psychiatrie-psychotherapie-und-psychosomatik</t>
  </si>
  <si>
    <t>https://evkb.de/kliniken-zentren/psyche-nerven/psychiatrie-und-psychotherapie/ueber-uns</t>
  </si>
  <si>
    <t>https://www.klinikum-weissenhof.de/</t>
  </si>
  <si>
    <t>https://www.christoph-dornier-klinik.de/de/startseite.html</t>
  </si>
  <si>
    <t>https://www.zfp-emmendingen.de/psychotische-stoerungen-schizophrenien</t>
  </si>
  <si>
    <t>https://janus-klinik.de/</t>
  </si>
  <si>
    <t>https://www.libermenta.com/</t>
  </si>
  <si>
    <t>https://www.limes-schlossklinik-fuerstenhof.de/</t>
  </si>
  <si>
    <t>https://www.limes-schlosskliniken.de/</t>
  </si>
  <si>
    <t>https://mhiberlin.de/en/private-psychiatric-clinic</t>
  </si>
  <si>
    <t>https://www.oberbergkliniken.de/fachkliniken/rhein-jura#c2314</t>
  </si>
  <si>
    <t>https://www.oberbergkliniken.de/fachkliniken/koeln-huerth#c2621</t>
  </si>
  <si>
    <t>https://www.oberbergkliniken.de/fachkliniken/duesseldorf-kaarst</t>
  </si>
  <si>
    <t>https://www.oberbergkliniken.de/fachkliniken/weserbergland</t>
  </si>
  <si>
    <t>https://www.heiligenfeld.de/kliniken/parkklinik-heiligenfeld</t>
  </si>
  <si>
    <t>https://www.pzn-wiesloch.de/</t>
  </si>
  <si>
    <t>https://www.psychosomatik-diessen.de/</t>
  </si>
  <si>
    <t>https://sanima-klinik.de/</t>
  </si>
  <si>
    <t>https://www.parkkliniken-charlottenburg.de/de/Medizin/Fachbereiche/Psychiatrie_Psychotherapie/</t>
  </si>
  <si>
    <t>https://www.schoen-klinik.de/bad-arolsen</t>
  </si>
  <si>
    <t>https://www.ipu-berlin.de/en/psychoseambulanz-berlin/</t>
  </si>
  <si>
    <t>https://www.vincera-kliniken.de/kliniken/bad-waldsee/</t>
  </si>
  <si>
    <t>https://www.vitos.de/gesellschaften/vitos-hochtaunus/einrichtungen/vitos-klinik-fuer-psychiatrie-und-psychotherapie-bad-homburg/klinikprofil/</t>
  </si>
  <si>
    <t>https://www.vivantes.de/klinikum-neukoelln/psychiatrie-psychotherapie-und-psychosomatik</t>
  </si>
  <si>
    <t>https://www.parcotigli.it/patologie/disturbi-schizofrenici-e-psicosi</t>
  </si>
  <si>
    <t>https://neomesia.com/casa-mioglia</t>
  </si>
  <si>
    <t>https://neomesia.com/casa-pero</t>
  </si>
  <si>
    <t>https://neomesia.com/casa-varazze</t>
  </si>
  <si>
    <t>https://neomesia.com/casa-villa-margherita</t>
  </si>
  <si>
    <t>https://neomesia.com/la-corte-di-carcare</t>
  </si>
  <si>
    <t>https://neomesia.com/la-corte-di-orero</t>
  </si>
  <si>
    <t>https://www.ospedalemarialuigia.it/riabilitazione-psichiatrica/</t>
  </si>
  <si>
    <t>https://www.santannacasale.it/aree-di-riabilitazione/</t>
  </si>
  <si>
    <t>https://www.grupposandonato.it/strutture/istituti-clinici-zucchi-carate-brianza/unita-operativa-psichiatria</t>
  </si>
  <si>
    <t>https://upmc.it/en/locations/salvator-mundi/services/psychology</t>
  </si>
  <si>
    <t>https://neomesia.com/villa-dei-pini/</t>
  </si>
  <si>
    <t>Schizophrenia | Psychosis | Dementia</t>
  </si>
  <si>
    <t>https://neomesia.com/villa-jolanda</t>
  </si>
  <si>
    <t>https://neomesia.com/villa-sant-alessandro</t>
  </si>
  <si>
    <t>https://neomesia.com/ville-di-nozzano</t>
  </si>
  <si>
    <t>https://chiakiclinic.littlestar.jp/index.html</t>
  </si>
  <si>
    <t>https://www.cocoro-yokohama.com/</t>
  </si>
  <si>
    <t>https://hajime-mental.jp/about/271/</t>
  </si>
  <si>
    <t>https://psyche.clinic/english/</t>
  </si>
  <si>
    <t>https://www.kichijoji-hospital.com/tougo/index.html</t>
  </si>
  <si>
    <t>https://kitatoda-matsumoto.com/%E7%B5%B1%E5%90%88%E5%A4%B1%E8%AA%BF%E7%97%87</t>
  </si>
  <si>
    <t>https://www.nankai.biz/symptom/into.html</t>
  </si>
  <si>
    <t>https://omiya-mental-clinic.jp/menu/disease/schizophrenia/</t>
  </si>
  <si>
    <t>https://www.tokyomentalhealth.com/tokyo-psychiatry/</t>
  </si>
  <si>
    <t>https://www.marianna-u.ac.jp/hospital/departments/schizophrenia_treatment</t>
  </si>
  <si>
    <t>https://seidomae.com/schizophrenia.html</t>
  </si>
  <si>
    <t>https://www.shibuya-mental.com/schizophrenia</t>
  </si>
  <si>
    <t>https://uruoi-clinic.jp/disease/schizophrenia/</t>
  </si>
  <si>
    <t>https://www.eijinkai.or.jp/about/feature02.html</t>
  </si>
  <si>
    <t>https://sanyokai-clinic.com/kokoro/category/news/schizophrenia/?gad_source=1&amp;gclid=EAIaIQobChMInIqU65HbiQMVr6NmAh1Vthl7EAAYAiAAEgLl4fD_BwE</t>
  </si>
  <si>
    <t>https://motomachi-mental.com/medical/%e7%b5%b1%e5%90%88%e5%a4%b1%e8%aa%bf%e7%97%87/</t>
  </si>
  <si>
    <t>https://www.yotsubakano.com/%E7%B5%B1%E5%90%88%E5%A4%B1%E8%AA%BF%E7%97%87</t>
  </si>
  <si>
    <t>https://www.prolum.es/tratamientos/tratamiento-esquizofrenia-psicosis/</t>
  </si>
  <si>
    <t>https://www.cun.es/enfermedades-tratamientos/enfermedades/esquizofrenia</t>
  </si>
  <si>
    <t>https://www.lopezibor.com/tratamientos/trastornos-psicoticos/</t>
  </si>
  <si>
    <t>https://seranil.com/en/</t>
  </si>
  <si>
    <t>https://www.menteamente.com/</t>
  </si>
  <si>
    <t>https://clinicaperezespinosa.com/programa/programa-de-atencion-integral/</t>
  </si>
  <si>
    <t>https://www.cat-barcelona.com/tratamiento/esquizofrenia/</t>
  </si>
  <si>
    <t>https://assuredhealthcareandwellness.co.uk//</t>
  </si>
  <si>
    <t>https://cardinalclinic.co.uk/conditions/psychosis/</t>
  </si>
  <si>
    <t>https://claimonthealth.co.uk/</t>
  </si>
  <si>
    <t>https://www.fitzroviamedicalclinic.com/mental-health</t>
  </si>
  <si>
    <t>https://kingsbridgeprivatehospital.com/treatments-surgeries/outpatient-clinics/mental-health/psychiatry-adult-mental-health/</t>
  </si>
  <si>
    <t>https://www.londonpsychiatry.clinic/conditions/schizophrenia</t>
  </si>
  <si>
    <t>https://www.maudsleyprivatecare.co.uk/find-a-clinician</t>
  </si>
  <si>
    <t>https://midlandhealth.co.uk/mental-health/psychiatric-clinic/</t>
  </si>
  <si>
    <t>https://www.nightingalehospital.co.uk/specialists/</t>
  </si>
  <si>
    <t>https://www.priorygroup.com/mental-health/schizophrenia-treatment</t>
  </si>
  <si>
    <t>https://privatemedicalclinic.com/psychosis-specialist-in-birmingham/</t>
  </si>
  <si>
    <t>https://theprivatetherapyclinic.co.uk/issues/paranoia/</t>
  </si>
  <si>
    <t>Schizophrenia | Alzheimer's &amp; Dementia</t>
  </si>
  <si>
    <t>https://www.circlehealthgroup.co.uk/specialities/psychiatry</t>
  </si>
  <si>
    <t>https://www.newvictoria.co.uk/treatments/specialities-treatments/psychiatry</t>
  </si>
  <si>
    <t>https://psymplicity.com/practitioners/</t>
  </si>
  <si>
    <t>https://thebluetreeclinic.com/</t>
  </si>
  <si>
    <t>https://www.thechelseapsychologyclinic.com/</t>
  </si>
  <si>
    <t>https://www.thesoke.uk/</t>
  </si>
  <si>
    <t>https://arborwellnessmh.com/</t>
  </si>
  <si>
    <t>https://www.austenriggs.org/</t>
  </si>
  <si>
    <t>https://www.brightquest.com/</t>
  </si>
  <si>
    <t>https://www.cedarcresthospital.com/</t>
  </si>
  <si>
    <t>https://www.nygsh.org/psychotic-disorders.html</t>
  </si>
  <si>
    <t>https://www.northtampabehavioralhealth.com/</t>
  </si>
  <si>
    <t>https://novohealthcare.org/services</t>
  </si>
  <si>
    <t>https://www.ohiohospitalforpsychiatry.com/</t>
  </si>
  <si>
    <t>https://parksideinc.org/</t>
  </si>
  <si>
    <t>https://hospital.uillinois.edu/es/primary-and-specialty-care/servicios-de-psiquiatria/servicios-clinicos-para-adultos/psicosis</t>
  </si>
  <si>
    <t>https://www.sanjosebh.com/disorders/schizophrenia/causes-effects/</t>
  </si>
  <si>
    <t>https://www.mcleanhospital.org/schizophrenia</t>
  </si>
  <si>
    <t>https://www.sevenhillsbi.com/</t>
  </si>
  <si>
    <t>https://silverhillhospital.org/what-we-treat/mental-health-hospitals-ct/#overview__clinical_expertise</t>
  </si>
  <si>
    <t>https://www.skylandtrail.org/</t>
  </si>
  <si>
    <t>https://socalmentalhealth.com/disorders-treated/psychotic/schizophrenia/</t>
  </si>
  <si>
    <t>https://www.kcl.ac.uk/events/maudsley-prescribing-guidelines-international-conference-clinical-psychopharmacology-in-the-time-of-covid</t>
  </si>
  <si>
    <t>https://www.maudsley-prescribing-guidelines.co.uk/conference2025/</t>
  </si>
  <si>
    <t>Maudsley Prescribing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</si>
</sst>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21">
    <font>
      <sz val="10"/>
      <color rgb="FF000000"/>
      <name val="Arial"/>
      <charset val="134"/>
    </font>
    <font>
      <sz val="10"/>
      <color rgb="FF000000"/>
      <name val="Arial"/>
      <family val="2"/>
    </font>
    <font>
      <b/>
      <sz val="16"/>
      <color rgb="FF000000"/>
      <name val="Calibri"/>
      <family val="2"/>
    </font>
    <font>
      <sz val="10"/>
      <color rgb="FF000000"/>
      <name val="Calibri"/>
      <family val="2"/>
    </font>
    <font>
      <i/>
      <sz val="10"/>
      <color rgb="FF000000"/>
      <name val="Calibri"/>
      <family val="2"/>
    </font>
    <font>
      <b/>
      <sz val="11"/>
      <color rgb="FF000000"/>
      <name val="Calibri"/>
      <family val="2"/>
    </font>
    <font>
      <sz val="11"/>
      <name val="Calibri"/>
      <family val="2"/>
    </font>
    <font>
      <sz val="11"/>
      <color theme="1"/>
      <name val="Calibri"/>
      <family val="2"/>
    </font>
    <font>
      <b/>
      <sz val="16"/>
      <color theme="1"/>
      <name val="Calibri"/>
      <family val="2"/>
    </font>
    <font>
      <sz val="10"/>
      <name val="Arial"/>
      <family val="2"/>
    </font>
    <font>
      <u/>
      <sz val="11"/>
      <color theme="10"/>
      <name val="Calibri"/>
      <family val="2"/>
    </font>
    <font>
      <sz val="11"/>
      <color rgb="FF000000"/>
      <name val="Calibri"/>
      <family val="2"/>
    </font>
    <font>
      <u/>
      <sz val="10"/>
      <color theme="10"/>
      <name val="Arial"/>
      <family val="2"/>
    </font>
    <font>
      <sz val="11"/>
      <color rgb="FF000000"/>
      <name val="Arial"/>
      <family val="2"/>
    </font>
    <font>
      <u/>
      <sz val="11"/>
      <color theme="10"/>
      <name val="Arial"/>
      <family val="2"/>
      <scheme val="minor"/>
    </font>
    <font>
      <sz val="11"/>
      <color theme="1"/>
      <name val="Arial"/>
      <family val="2"/>
      <scheme val="minor"/>
    </font>
    <font>
      <sz val="11"/>
      <color theme="1"/>
      <name val="Arial"/>
      <family val="2"/>
    </font>
    <font>
      <sz val="11"/>
      <color rgb="FFFF0000"/>
      <name val="Calibri"/>
      <family val="2"/>
    </font>
    <font>
      <sz val="10"/>
      <color rgb="FF000000"/>
      <name val="Arial"/>
      <family val="2"/>
    </font>
    <font>
      <b/>
      <sz val="11"/>
      <name val="Calibri"/>
      <family val="2"/>
    </font>
    <font>
      <sz val="10"/>
      <name val="Calibri"/>
      <family val="2"/>
    </font>
  </fonts>
  <fills count="3">
    <fill>
      <patternFill patternType="none"/>
    </fill>
    <fill>
      <patternFill patternType="gray125"/>
    </fill>
    <fill>
      <patternFill patternType="solid">
        <fgColor theme="0"/>
        <bgColor theme="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40">
    <xf numFmtId="0" fontId="0" fillId="0" borderId="0"/>
    <xf numFmtId="0" fontId="10"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xf numFmtId="0" fontId="15"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0" borderId="0"/>
    <xf numFmtId="0" fontId="16"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8" fillId="0" borderId="0"/>
    <xf numFmtId="0" fontId="12" fillId="0" borderId="0" applyNumberFormat="0" applyFill="0" applyBorder="0" applyAlignment="0" applyProtection="0"/>
    <xf numFmtId="0" fontId="1" fillId="0" borderId="0"/>
  </cellStyleXfs>
  <cellXfs count="77">
    <xf numFmtId="0" fontId="0" fillId="0" borderId="0" xfId="0"/>
    <xf numFmtId="0" fontId="1" fillId="0" borderId="0" xfId="14"/>
    <xf numFmtId="0" fontId="13" fillId="0" borderId="0" xfId="0" applyFont="1"/>
    <xf numFmtId="0" fontId="10" fillId="0" borderId="1" xfId="2" applyFont="1" applyFill="1" applyBorder="1" applyAlignment="1">
      <alignment horizontal="left" vertical="top" wrapText="1"/>
    </xf>
    <xf numFmtId="0" fontId="7" fillId="0" borderId="1" xfId="0" applyFont="1" applyBorder="1" applyAlignment="1">
      <alignment horizontal="center" vertical="center" wrapText="1"/>
    </xf>
    <xf numFmtId="0" fontId="11" fillId="0" borderId="1" xfId="0" applyFont="1" applyBorder="1" applyAlignment="1">
      <alignment horizontal="left" vertical="top" wrapText="1"/>
    </xf>
    <xf numFmtId="0" fontId="11" fillId="0" borderId="1" xfId="14" applyFont="1" applyBorder="1" applyAlignment="1">
      <alignment horizontal="center" vertical="center" wrapText="1"/>
    </xf>
    <xf numFmtId="0" fontId="7" fillId="0" borderId="1" xfId="14" applyFont="1" applyBorder="1" applyAlignment="1">
      <alignment wrapText="1"/>
    </xf>
    <xf numFmtId="0" fontId="7" fillId="0" borderId="1" xfId="0" applyFont="1" applyBorder="1" applyAlignment="1">
      <alignment wrapText="1"/>
    </xf>
    <xf numFmtId="0" fontId="5" fillId="0" borderId="1" xfId="14" applyFont="1" applyBorder="1" applyAlignment="1">
      <alignment horizontal="center" vertical="center" wrapText="1"/>
    </xf>
    <xf numFmtId="0" fontId="11" fillId="0" borderId="1" xfId="14" applyFont="1" applyBorder="1" applyAlignment="1">
      <alignment horizontal="center" wrapText="1"/>
    </xf>
    <xf numFmtId="0" fontId="13" fillId="0" borderId="0" xfId="14" applyFont="1"/>
    <xf numFmtId="0" fontId="5" fillId="0" borderId="1" xfId="0" applyFont="1" applyBorder="1" applyAlignment="1">
      <alignment horizontal="center" vertical="center" wrapText="1"/>
    </xf>
    <xf numFmtId="0" fontId="6" fillId="0" borderId="1" xfId="14" applyFont="1" applyBorder="1" applyAlignment="1">
      <alignment horizontal="left" vertical="top" wrapText="1"/>
    </xf>
    <xf numFmtId="0" fontId="6" fillId="0" borderId="1" xfId="10" applyFont="1" applyBorder="1" applyAlignment="1">
      <alignment horizontal="left" vertical="top" wrapText="1"/>
    </xf>
    <xf numFmtId="0" fontId="11" fillId="0" borderId="1" xfId="0" applyFont="1" applyBorder="1" applyAlignment="1">
      <alignment horizontal="center" vertical="center" wrapText="1"/>
    </xf>
    <xf numFmtId="0" fontId="10" fillId="0" borderId="1" xfId="38" applyFont="1" applyFill="1" applyBorder="1" applyAlignment="1">
      <alignment horizontal="left" vertical="top" wrapText="1"/>
    </xf>
    <xf numFmtId="0" fontId="11" fillId="0" borderId="1" xfId="14" applyFont="1" applyBorder="1" applyAlignment="1">
      <alignment horizontal="left" vertical="top" wrapText="1"/>
    </xf>
    <xf numFmtId="0" fontId="6" fillId="0" borderId="1" xfId="38"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top" wrapText="1"/>
    </xf>
    <xf numFmtId="0" fontId="1" fillId="0" borderId="0" xfId="39"/>
    <xf numFmtId="0" fontId="17" fillId="0" borderId="0" xfId="39" applyFont="1"/>
    <xf numFmtId="0" fontId="6" fillId="0" borderId="1" xfId="38" applyFont="1" applyFill="1" applyBorder="1" applyAlignment="1">
      <alignment horizontal="left" vertical="top" wrapText="1"/>
    </xf>
    <xf numFmtId="0" fontId="11" fillId="0" borderId="1" xfId="14" applyFont="1" applyBorder="1"/>
    <xf numFmtId="0" fontId="6" fillId="0" borderId="1" xfId="14" applyFont="1" applyBorder="1" applyAlignment="1">
      <alignment horizontal="center" vertical="center" wrapText="1"/>
    </xf>
    <xf numFmtId="0" fontId="5" fillId="0" borderId="1" xfId="39" applyFont="1" applyBorder="1" applyAlignment="1">
      <alignment horizontal="center" vertical="center" wrapText="1"/>
    </xf>
    <xf numFmtId="0" fontId="11" fillId="0" borderId="1" xfId="39" applyFont="1" applyBorder="1" applyAlignment="1">
      <alignment horizontal="center" vertical="center" wrapText="1"/>
    </xf>
    <xf numFmtId="0" fontId="11" fillId="0" borderId="1" xfId="39" applyFont="1" applyBorder="1" applyAlignment="1">
      <alignment horizontal="left" vertical="top" wrapText="1"/>
    </xf>
    <xf numFmtId="164" fontId="11" fillId="0" borderId="1" xfId="39" applyNumberFormat="1" applyFont="1" applyBorder="1" applyAlignment="1">
      <alignment horizontal="left" vertical="top" wrapText="1"/>
    </xf>
    <xf numFmtId="0" fontId="7" fillId="0" borderId="1" xfId="0" applyFont="1" applyBorder="1" applyAlignment="1">
      <alignment horizontal="left" vertical="top" wrapText="1"/>
    </xf>
    <xf numFmtId="0" fontId="7" fillId="0" borderId="1" xfId="14" applyFont="1" applyBorder="1"/>
    <xf numFmtId="0" fontId="19" fillId="0" borderId="1" xfId="14" applyFont="1" applyBorder="1" applyAlignment="1">
      <alignment horizontal="center" vertical="center" wrapText="1"/>
    </xf>
    <xf numFmtId="0" fontId="7" fillId="0" borderId="1" xfId="14" applyFont="1" applyBorder="1" applyAlignment="1">
      <alignment horizontal="center" vertical="center"/>
    </xf>
    <xf numFmtId="0" fontId="0" fillId="0" borderId="0" xfId="34" applyFont="1"/>
    <xf numFmtId="0" fontId="5" fillId="0" borderId="1" xfId="34" applyFont="1" applyBorder="1" applyAlignment="1">
      <alignment horizontal="center" vertical="center" wrapText="1"/>
    </xf>
    <xf numFmtId="0" fontId="7" fillId="0" borderId="1" xfId="34" applyFont="1" applyBorder="1" applyAlignment="1">
      <alignment horizontal="center" vertical="center"/>
    </xf>
    <xf numFmtId="0" fontId="10" fillId="0" borderId="1" xfId="4" applyFont="1" applyFill="1" applyBorder="1" applyAlignment="1">
      <alignment horizontal="left" vertical="top" wrapText="1"/>
    </xf>
    <xf numFmtId="0" fontId="7" fillId="0" borderId="1" xfId="34" applyFont="1" applyBorder="1" applyAlignment="1">
      <alignment horizontal="left" vertical="top" wrapText="1"/>
    </xf>
    <xf numFmtId="0" fontId="11" fillId="0" borderId="0" xfId="34" applyFont="1"/>
    <xf numFmtId="0" fontId="7" fillId="0" borderId="1" xfId="34" applyFont="1" applyBorder="1" applyAlignment="1">
      <alignment horizontal="center" vertical="center" wrapText="1"/>
    </xf>
    <xf numFmtId="0" fontId="11" fillId="0" borderId="1" xfId="34" applyFont="1" applyBorder="1" applyAlignment="1">
      <alignment horizontal="left" vertical="top" wrapText="1"/>
    </xf>
    <xf numFmtId="0" fontId="12" fillId="0" borderId="1" xfId="38" applyFill="1" applyBorder="1" applyAlignment="1">
      <alignment horizontal="left" vertical="top" wrapText="1"/>
    </xf>
    <xf numFmtId="0" fontId="2" fillId="0" borderId="1" xfId="14" applyFont="1" applyBorder="1" applyAlignment="1">
      <alignment horizontal="left" vertical="center" wrapText="1"/>
    </xf>
    <xf numFmtId="0" fontId="3" fillId="0" borderId="1" xfId="14" applyFont="1" applyBorder="1" applyAlignment="1">
      <alignment horizontal="left" vertical="top" wrapText="1"/>
    </xf>
    <xf numFmtId="0" fontId="4" fillId="0" borderId="1" xfId="14" applyFont="1" applyBorder="1" applyAlignment="1">
      <alignment horizontal="left" vertical="top" wrapText="1"/>
    </xf>
    <xf numFmtId="0" fontId="5" fillId="0" borderId="1" xfId="14" applyFont="1" applyBorder="1" applyAlignment="1">
      <alignment horizontal="center" vertical="center" wrapText="1"/>
    </xf>
    <xf numFmtId="0" fontId="6" fillId="0" borderId="1" xfId="14" applyFont="1" applyBorder="1"/>
    <xf numFmtId="0" fontId="5" fillId="0" borderId="1" xfId="14" applyFont="1" applyBorder="1" applyAlignment="1">
      <alignment horizontal="center" vertical="center"/>
    </xf>
    <xf numFmtId="0" fontId="6" fillId="0" borderId="1" xfId="14" applyFont="1" applyBorder="1" applyAlignment="1">
      <alignment vertical="center"/>
    </xf>
    <xf numFmtId="0" fontId="8" fillId="0" borderId="1" xfId="14" applyFont="1" applyBorder="1" applyAlignment="1">
      <alignment horizontal="left" vertical="center" wrapText="1"/>
    </xf>
    <xf numFmtId="0" fontId="7" fillId="0" borderId="1" xfId="14" applyFont="1" applyBorder="1" applyAlignment="1">
      <alignment horizontal="left" vertical="top" wrapText="1"/>
    </xf>
    <xf numFmtId="0" fontId="9" fillId="0" borderId="1" xfId="14" applyFont="1" applyBorder="1"/>
    <xf numFmtId="0" fontId="8" fillId="0" borderId="2" xfId="39" applyFont="1" applyBorder="1" applyAlignment="1">
      <alignment horizontal="left" vertical="center" wrapText="1"/>
    </xf>
    <xf numFmtId="0" fontId="8" fillId="0" borderId="3" xfId="39" applyFont="1" applyBorder="1" applyAlignment="1">
      <alignment horizontal="left" vertical="center" wrapText="1"/>
    </xf>
    <xf numFmtId="0" fontId="8" fillId="0" borderId="4" xfId="39" applyFont="1" applyBorder="1" applyAlignment="1">
      <alignment horizontal="left" vertical="center" wrapText="1"/>
    </xf>
    <xf numFmtId="0" fontId="7" fillId="0" borderId="5" xfId="39" applyFont="1" applyBorder="1" applyAlignment="1">
      <alignment horizontal="left" vertical="top" wrapText="1"/>
    </xf>
    <xf numFmtId="0" fontId="7" fillId="0" borderId="6" xfId="39" applyFont="1" applyBorder="1" applyAlignment="1">
      <alignment horizontal="left" vertical="top" wrapText="1"/>
    </xf>
    <xf numFmtId="0" fontId="7" fillId="0" borderId="7" xfId="39" applyFont="1" applyBorder="1" applyAlignment="1">
      <alignment horizontal="left" vertical="top" wrapText="1"/>
    </xf>
    <xf numFmtId="0" fontId="7" fillId="0" borderId="8" xfId="39" applyFont="1" applyBorder="1" applyAlignment="1">
      <alignment horizontal="left" vertical="top" wrapText="1"/>
    </xf>
    <xf numFmtId="0" fontId="7" fillId="0" borderId="9" xfId="39" applyFont="1" applyBorder="1" applyAlignment="1">
      <alignment horizontal="left" vertical="top" wrapText="1"/>
    </xf>
    <xf numFmtId="0" fontId="7" fillId="0" borderId="10" xfId="39" applyFont="1" applyBorder="1" applyAlignment="1">
      <alignment horizontal="left" vertical="top" wrapText="1"/>
    </xf>
    <xf numFmtId="0" fontId="20" fillId="0" borderId="1" xfId="14" applyFont="1" applyBorder="1"/>
    <xf numFmtId="0" fontId="8" fillId="0" borderId="1" xfId="0" applyFont="1" applyBorder="1" applyAlignment="1">
      <alignment horizontal="left" vertical="center" wrapText="1"/>
    </xf>
    <xf numFmtId="0" fontId="7" fillId="0" borderId="1" xfId="0" applyFont="1" applyBorder="1" applyAlignment="1">
      <alignment horizontal="left" vertical="top" wrapText="1"/>
    </xf>
    <xf numFmtId="0" fontId="9" fillId="0" borderId="1" xfId="0" applyFont="1" applyBorder="1"/>
    <xf numFmtId="0" fontId="8" fillId="2" borderId="1" xfId="0" applyFont="1" applyFill="1" applyBorder="1" applyAlignment="1">
      <alignment horizontal="left" vertical="center" wrapText="1"/>
    </xf>
    <xf numFmtId="0" fontId="8" fillId="2" borderId="11" xfId="34" applyFont="1" applyFill="1" applyBorder="1" applyAlignment="1">
      <alignment horizontal="left" vertical="center" wrapText="1"/>
    </xf>
    <xf numFmtId="0" fontId="8" fillId="2" borderId="12" xfId="34" applyFont="1" applyFill="1" applyBorder="1" applyAlignment="1">
      <alignment horizontal="left" vertical="center" wrapText="1"/>
    </xf>
    <xf numFmtId="0" fontId="7" fillId="0" borderId="13" xfId="34" applyFont="1" applyBorder="1" applyAlignment="1">
      <alignment horizontal="left" vertical="top" wrapText="1"/>
    </xf>
    <xf numFmtId="0" fontId="9" fillId="0" borderId="14" xfId="34" applyFont="1" applyBorder="1"/>
    <xf numFmtId="0" fontId="9" fillId="0" borderId="15" xfId="34" applyFont="1" applyBorder="1"/>
    <xf numFmtId="0" fontId="9" fillId="0" borderId="16" xfId="34" applyFont="1" applyBorder="1"/>
    <xf numFmtId="0" fontId="9" fillId="0" borderId="0" xfId="34" applyFont="1"/>
    <xf numFmtId="0" fontId="9" fillId="0" borderId="17" xfId="34" applyFont="1" applyBorder="1"/>
    <xf numFmtId="0" fontId="8" fillId="2" borderId="1" xfId="34" applyFont="1" applyFill="1" applyBorder="1" applyAlignment="1">
      <alignment horizontal="left" vertical="center" wrapText="1"/>
    </xf>
    <xf numFmtId="0" fontId="7" fillId="0" borderId="1" xfId="34" applyFont="1" applyBorder="1" applyAlignment="1">
      <alignment horizontal="left" vertical="top" wrapText="1"/>
    </xf>
  </cellXfs>
  <cellStyles count="40">
    <cellStyle name="Hyperlink" xfId="38" builtinId="8"/>
    <cellStyle name="Hyperlink 2" xfId="1" xr:uid="{00000000-0005-0000-0000-000001000000}"/>
    <cellStyle name="Hyperlink 3" xfId="2" xr:uid="{00000000-0005-0000-0000-000002000000}"/>
    <cellStyle name="Hyperlink 4" xfId="3" xr:uid="{00000000-0005-0000-0000-000003000000}"/>
    <cellStyle name="Hyperlink 5" xfId="4" xr:uid="{00000000-0005-0000-0000-000004000000}"/>
    <cellStyle name="Normal" xfId="0" builtinId="0"/>
    <cellStyle name="Normal 10" xfId="5" xr:uid="{00000000-0005-0000-0000-000006000000}"/>
    <cellStyle name="Normal 10 2" xfId="6" xr:uid="{00000000-0005-0000-0000-000007000000}"/>
    <cellStyle name="Normal 11" xfId="7" xr:uid="{00000000-0005-0000-0000-000008000000}"/>
    <cellStyle name="Normal 11 2" xfId="8" xr:uid="{00000000-0005-0000-0000-000009000000}"/>
    <cellStyle name="Normal 12" xfId="9" xr:uid="{00000000-0005-0000-0000-00000A000000}"/>
    <cellStyle name="Normal 12 2" xfId="10" xr:uid="{00000000-0005-0000-0000-00000B000000}"/>
    <cellStyle name="Normal 13" xfId="11" xr:uid="{00000000-0005-0000-0000-00000C000000}"/>
    <cellStyle name="Normal 14" xfId="12" xr:uid="{00000000-0005-0000-0000-00000D000000}"/>
    <cellStyle name="Normal 14 2" xfId="13" xr:uid="{00000000-0005-0000-0000-00000E000000}"/>
    <cellStyle name="Normal 15" xfId="37" xr:uid="{00000000-0005-0000-0000-00000F000000}"/>
    <cellStyle name="Normal 15 2" xfId="39" xr:uid="{00000000-0005-0000-0000-000010000000}"/>
    <cellStyle name="Normal 2" xfId="14" xr:uid="{00000000-0005-0000-0000-000011000000}"/>
    <cellStyle name="Normal 3" xfId="15" xr:uid="{00000000-0005-0000-0000-000012000000}"/>
    <cellStyle name="Normal 3 2" xfId="16" xr:uid="{00000000-0005-0000-0000-000013000000}"/>
    <cellStyle name="Normal 4" xfId="17" xr:uid="{00000000-0005-0000-0000-000014000000}"/>
    <cellStyle name="Normal 5" xfId="18" xr:uid="{00000000-0005-0000-0000-000015000000}"/>
    <cellStyle name="Normal 5 2" xfId="19" xr:uid="{00000000-0005-0000-0000-000016000000}"/>
    <cellStyle name="Normal 5 2 2" xfId="20" xr:uid="{00000000-0005-0000-0000-000017000000}"/>
    <cellStyle name="Normal 5 2 2 2" xfId="21" xr:uid="{00000000-0005-0000-0000-000018000000}"/>
    <cellStyle name="Normal 5 2 3" xfId="22" xr:uid="{00000000-0005-0000-0000-000019000000}"/>
    <cellStyle name="Normal 5 3" xfId="23" xr:uid="{00000000-0005-0000-0000-00001A000000}"/>
    <cellStyle name="Normal 5 3 2" xfId="24" xr:uid="{00000000-0005-0000-0000-00001B000000}"/>
    <cellStyle name="Normal 5 4" xfId="25" xr:uid="{00000000-0005-0000-0000-00001C000000}"/>
    <cellStyle name="Normal 6" xfId="26" xr:uid="{00000000-0005-0000-0000-00001D000000}"/>
    <cellStyle name="Normal 6 2" xfId="27" xr:uid="{00000000-0005-0000-0000-00001E000000}"/>
    <cellStyle name="Normal 6 3" xfId="28" xr:uid="{00000000-0005-0000-0000-00001F000000}"/>
    <cellStyle name="Normal 7" xfId="29" xr:uid="{00000000-0005-0000-0000-000020000000}"/>
    <cellStyle name="Normal 7 2" xfId="30" xr:uid="{00000000-0005-0000-0000-000021000000}"/>
    <cellStyle name="Normal 7 2 2" xfId="31" xr:uid="{00000000-0005-0000-0000-000022000000}"/>
    <cellStyle name="Normal 7 3" xfId="32" xr:uid="{00000000-0005-0000-0000-000023000000}"/>
    <cellStyle name="Normal 8" xfId="33" xr:uid="{00000000-0005-0000-0000-000024000000}"/>
    <cellStyle name="Normal 8 2" xfId="34" xr:uid="{00000000-0005-0000-0000-000025000000}"/>
    <cellStyle name="Normal 9" xfId="35" xr:uid="{00000000-0005-0000-0000-000026000000}"/>
    <cellStyle name="Normal 9 2" xfId="36" xr:uid="{00000000-0005-0000-0000-000027000000}"/>
  </cellStyles>
  <dxfs count="9">
    <dxf>
      <font>
        <color rgb="FF9C0006"/>
      </font>
      <fill>
        <patternFill>
          <bgColor rgb="FFFFC7CE"/>
        </patternFill>
      </fill>
    </dxf>
    <dxf>
      <font>
        <color rgb="FF9C0006"/>
      </font>
      <fill>
        <patternFill>
          <bgColor rgb="FFFFC7CE"/>
        </patternFill>
      </fill>
    </dxf>
    <dxf>
      <fill>
        <patternFill patternType="solid">
          <fgColor rgb="FFE6B8AF"/>
          <bgColor rgb="FFE6B8AF"/>
        </patternFill>
      </fill>
    </dxf>
    <dxf>
      <fill>
        <patternFill patternType="solid">
          <fgColor rgb="FFE6B8AF"/>
          <bgColor rgb="FFE6B8AF"/>
        </patternFill>
      </fill>
    </dxf>
    <dxf>
      <fill>
        <patternFill patternType="solid">
          <fgColor rgb="FFE6B8AF"/>
          <bgColor rgb="FFE6B8AF"/>
        </patternFill>
      </fill>
    </dxf>
    <dxf>
      <fill>
        <patternFill patternType="solid">
          <fgColor rgb="FFE6B8AF"/>
          <bgColor rgb="FFE6B8AF"/>
        </patternFill>
      </fill>
    </dxf>
    <dxf>
      <fill>
        <patternFill patternType="solid">
          <fgColor rgb="FFE6B8AF"/>
          <bgColor rgb="FFE6B8AF"/>
        </patternFill>
      </fill>
    </dxf>
    <dxf>
      <fill>
        <patternFill patternType="solid">
          <fgColor rgb="FFE6B8AF"/>
          <bgColor rgb="FFE6B8AF"/>
        </patternFill>
      </fill>
    </dxf>
    <dxf>
      <fill>
        <patternFill patternType="solid">
          <fgColor rgb="FFE6B8AF"/>
          <bgColor rgb="FFE6B8AF"/>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https://www.asst-santipaolocarlo.it/psichiatria-51-/-52" TargetMode="External"/><Relationship Id="rId21" Type="http://schemas.openxmlformats.org/officeDocument/2006/relationships/hyperlink" Target="https://www.fondation-fondamental.org/system/files/plaquette_ce_schizo_grenoble_12.2022_3_1.pdf" TargetMode="External"/><Relationship Id="rId34" Type="http://schemas.openxmlformats.org/officeDocument/2006/relationships/hyperlink" Target="https://www.ncnp.go.jp/hospital/guide/sd/edics.html" TargetMode="External"/><Relationship Id="rId42" Type="http://schemas.openxmlformats.org/officeDocument/2006/relationships/hyperlink" Target="https://www.cardiff.ac.uk/centre-neuropsychiatric-genetics-genomics" TargetMode="External"/><Relationship Id="rId47" Type="http://schemas.openxmlformats.org/officeDocument/2006/relationships/hyperlink" Target="https://www.sane.org.uk/understanding-mental-illness/research-mind-brain/powic" TargetMode="External"/><Relationship Id="rId50" Type="http://schemas.openxmlformats.org/officeDocument/2006/relationships/hyperlink" Target="https://mghcoe.com/" TargetMode="External"/><Relationship Id="rId55" Type="http://schemas.openxmlformats.org/officeDocument/2006/relationships/hyperlink" Target="https://www.columbiapsychiatry.org/research/research-centers-interdisciplinary-programs/lieber-center-schizophrenia-research-and-treatment" TargetMode="External"/><Relationship Id="rId63" Type="http://schemas.openxmlformats.org/officeDocument/2006/relationships/hyperlink" Target="https://www.semel.ucla.edu/psychosis/" TargetMode="External"/><Relationship Id="rId7" Type="http://schemas.openxmlformats.org/officeDocument/2006/relationships/hyperlink" Target="https://www.fondation-fondamental.org/system/files/plaquette_ce_schizo_bordeaux-2021.pdf" TargetMode="External"/><Relationship Id="rId2" Type="http://schemas.openxmlformats.org/officeDocument/2006/relationships/hyperlink" Target="https://ceymh-cesmj.ca/fr/" TargetMode="External"/><Relationship Id="rId16" Type="http://schemas.openxmlformats.org/officeDocument/2006/relationships/hyperlink" Target="https://www.fondation-fondamental.org/system/files/plaquette_ce_schizo_creteil-2021.pdf" TargetMode="External"/><Relationship Id="rId29" Type="http://schemas.openxmlformats.org/officeDocument/2006/relationships/hyperlink" Target="https://neomesia.com/casa-cima" TargetMode="External"/><Relationship Id="rId11" Type="http://schemas.openxmlformats.org/officeDocument/2006/relationships/hyperlink" Target="https://www.fondation-fondamental.org/system/files/2023-11/plaquette_ce_schizo_toulouse-%202023.pdf" TargetMode="External"/><Relationship Id="rId24" Type="http://schemas.openxmlformats.org/officeDocument/2006/relationships/hyperlink" Target="https://www.lmu-klinikum.de/psychiatrie-und-psychotherapie" TargetMode="External"/><Relationship Id="rId32" Type="http://schemas.openxmlformats.org/officeDocument/2006/relationships/hyperlink" Target="https://www.asst-fbf-sacco.it/reparti-e-servizi/info/psichiatria-1" TargetMode="External"/><Relationship Id="rId37" Type="http://schemas.openxmlformats.org/officeDocument/2006/relationships/hyperlink" Target="https://www.comunidad.madrid/hospital/12octubre/noticia/tratamiento-esquizofrenia-hospital-12-octubre-premio-best-in-class" TargetMode="External"/><Relationship Id="rId40" Type="http://schemas.openxmlformats.org/officeDocument/2006/relationships/hyperlink" Target="https://www.cpft.nhs.uk/psychosis-centre/" TargetMode="External"/><Relationship Id="rId45" Type="http://schemas.openxmlformats.org/officeDocument/2006/relationships/hyperlink" Target="https://institutemh.org.uk/about/vision-and-mission" TargetMode="External"/><Relationship Id="rId53" Type="http://schemas.openxmlformats.org/officeDocument/2006/relationships/hyperlink" Target="https://www.hopkinsmedicine.org/inhealth/psychosis" TargetMode="External"/><Relationship Id="rId58" Type="http://schemas.openxmlformats.org/officeDocument/2006/relationships/hyperlink" Target="https://schizophrenia.pocn.com/" TargetMode="External"/><Relationship Id="rId5" Type="http://schemas.openxmlformats.org/officeDocument/2006/relationships/hyperlink" Target="https://www.theroyal.ca/patient-care-information/clinics-services-programs/schizophrenia-recovery-program" TargetMode="External"/><Relationship Id="rId61" Type="http://schemas.openxmlformats.org/officeDocument/2006/relationships/hyperlink" Target="https://coementalhealth.com/schizophrenia/" TargetMode="External"/><Relationship Id="rId19" Type="http://schemas.openxmlformats.org/officeDocument/2006/relationships/hyperlink" Target="https://centre-ressource-rehabilitation.org/centre-esquirol" TargetMode="External"/><Relationship Id="rId14" Type="http://schemas.openxmlformats.org/officeDocument/2006/relationships/hyperlink" Target="https://www.fondation-fondamental.org/system/files/plaquette_ce_schizo_saint_etienne-2022.pdf" TargetMode="External"/><Relationship Id="rId22" Type="http://schemas.openxmlformats.org/officeDocument/2006/relationships/hyperlink" Target="https://www.fondation-fondamental.org/system/files/2024-10/plaquette_ce_schizo_bron-Le%20Vinatier%20%E2%80%93%20Psychiatrie%20Universitaire%20Lyon%20M%C3%A9tropole.pdf" TargetMode="External"/><Relationship Id="rId27" Type="http://schemas.openxmlformats.org/officeDocument/2006/relationships/hyperlink" Target="https://www.policlinico.mi.it/reparti/61/psichiatria" TargetMode="External"/><Relationship Id="rId30" Type="http://schemas.openxmlformats.org/officeDocument/2006/relationships/hyperlink" Target="https://www.casadicuralebetulle.it/aree-terapeutiche/psichiatria/" TargetMode="External"/><Relationship Id="rId35" Type="http://schemas.openxmlformats.org/officeDocument/2006/relationships/hyperlink" Target="https://cipsmalaga.com/tratamiento-esquizofrenia-psicosis-malaga/" TargetMode="External"/><Relationship Id="rId43" Type="http://schemas.openxmlformats.org/officeDocument/2006/relationships/hyperlink" Target="https://www.kcl.ac.uk/academic-psychiatry/about/departments/psychosis" TargetMode="External"/><Relationship Id="rId48" Type="http://schemas.openxmlformats.org/officeDocument/2006/relationships/hyperlink" Target="https://sloanecourtclinic.com/" TargetMode="External"/><Relationship Id="rId56" Type="http://schemas.openxmlformats.org/officeDocument/2006/relationships/hyperlink" Target="https://www.mirecc.va.gov/visn22/" TargetMode="External"/><Relationship Id="rId64" Type="http://schemas.openxmlformats.org/officeDocument/2006/relationships/hyperlink" Target="https://www.med.unc.edu/psych/cecmh/about-us/" TargetMode="External"/><Relationship Id="rId8" Type="http://schemas.openxmlformats.org/officeDocument/2006/relationships/hyperlink" Target="https://www.fondation-fondamental.org/system/files/plaquette_ce_schizo_versailles-2021.pdf" TargetMode="External"/><Relationship Id="rId51" Type="http://schemas.openxmlformats.org/officeDocument/2006/relationships/hyperlink" Target="https://www.mirecc.va.gov/CESAMH/index.asp" TargetMode="External"/><Relationship Id="rId3" Type="http://schemas.openxmlformats.org/officeDocument/2006/relationships/hyperlink" Target="https://www.ontariohealth.ca/about-us/our-programs/clinical-quality-programs/mental-health-addictions" TargetMode="External"/><Relationship Id="rId12" Type="http://schemas.openxmlformats.org/officeDocument/2006/relationships/hyperlink" Target="https://www.chu-caen.fr/centres/camp/" TargetMode="External"/><Relationship Id="rId17" Type="http://schemas.openxmlformats.org/officeDocument/2006/relationships/hyperlink" Target="https://www.fondation-fondamental.org/system/files/plaquette_ce_schizo_strasbourg-2021.pdf" TargetMode="External"/><Relationship Id="rId25" Type="http://schemas.openxmlformats.org/officeDocument/2006/relationships/hyperlink" Target="https://www.kns.kompetenznetz-schizophrenie.info/drupal/files/Newsletter_KNS_14.pdf" TargetMode="External"/><Relationship Id="rId33" Type="http://schemas.openxmlformats.org/officeDocument/2006/relationships/hyperlink" Target="https://www.hsr.it/strutture/san-raffaele-turro/centro-disturbi-psicotici" TargetMode="External"/><Relationship Id="rId38" Type="http://schemas.openxmlformats.org/officeDocument/2006/relationships/hyperlink" Target="https://www.clinicbarcelona.org/unidad/esquizofrenia" TargetMode="External"/><Relationship Id="rId46" Type="http://schemas.openxmlformats.org/officeDocument/2006/relationships/hyperlink" Target="https://slam.nhs.uk/service-detail/service/national-psychosis-service-inpatients-119/" TargetMode="External"/><Relationship Id="rId59" Type="http://schemas.openxmlformats.org/officeDocument/2006/relationships/hyperlink" Target="https://www.bidmc.org/research/research-by-department/psychiatry/psychosis-research-program/prp-history" TargetMode="External"/><Relationship Id="rId20" Type="http://schemas.openxmlformats.org/officeDocument/2006/relationships/hyperlink" Target="https://www.fondation-fondamental.org/system/files/plaquette_ce_schizo_montpellier-2021.pdf" TargetMode="External"/><Relationship Id="rId41" Type="http://schemas.openxmlformats.org/officeDocument/2006/relationships/hyperlink" Target="https://researchcentres.city.ac.uk/centre-for-mental-health-research" TargetMode="External"/><Relationship Id="rId54" Type="http://schemas.openxmlformats.org/officeDocument/2006/relationships/hyperlink" Target="https://www.hopkinsmedicine.org/news/articles/2022/08/new-center-aims-to-bolster-treatment-of-schizoaffective-disorders" TargetMode="External"/><Relationship Id="rId62" Type="http://schemas.openxmlformats.org/officeDocument/2006/relationships/hyperlink" Target="https://www.wa-ceep.org/" TargetMode="External"/><Relationship Id="rId1" Type="http://schemas.openxmlformats.org/officeDocument/2006/relationships/hyperlink" Target="https://cemh.lbpsb.qc.ca/fr-ca/Promouvoir-la-sant%C3%A9-mentale" TargetMode="External"/><Relationship Id="rId6" Type="http://schemas.openxmlformats.org/officeDocument/2006/relationships/hyperlink" Target="https://www.fondation-fondamental.org/system/files/2023-11/plaquette_ce_schizo_besan%C3%A7on-%202023.pdf" TargetMode="External"/><Relationship Id="rId15" Type="http://schemas.openxmlformats.org/officeDocument/2006/relationships/hyperlink" Target="https://www.fondation-fondamental.org/system/files/plaquette_ce_schizo_colombes-2021.pdf" TargetMode="External"/><Relationship Id="rId23" Type="http://schemas.openxmlformats.org/officeDocument/2006/relationships/hyperlink" Target="https://www.uke.de/kliniken-institute/kliniken/psychiatrie-und-psychotherapie/unterstuetzung-und-spende/schizophrenie-forschung.html" TargetMode="External"/><Relationship Id="rId28" Type="http://schemas.openxmlformats.org/officeDocument/2006/relationships/hyperlink" Target="https://www.ospedaleniguarda.it/strutture/info/psichiatria-1" TargetMode="External"/><Relationship Id="rId36" Type="http://schemas.openxmlformats.org/officeDocument/2006/relationships/hyperlink" Target="https://www.fjd.es/es/cartera-servicios/psiquiatria-psicologia-clinica" TargetMode="External"/><Relationship Id="rId49" Type="http://schemas.openxmlformats.org/officeDocument/2006/relationships/hyperlink" Target="https://www.neomed.edu/bestcenter/" TargetMode="External"/><Relationship Id="rId57" Type="http://schemas.openxmlformats.org/officeDocument/2006/relationships/hyperlink" Target="https://montefioreeinstein.org/patient-care/services/psychiatry" TargetMode="External"/><Relationship Id="rId10" Type="http://schemas.openxmlformats.org/officeDocument/2006/relationships/hyperlink" Target="https://www.ch-lerouvray.fr/actualites/labellisation-de-2-centres-dexcellence-par-linstitut-de-psychiatrie" TargetMode="External"/><Relationship Id="rId31" Type="http://schemas.openxmlformats.org/officeDocument/2006/relationships/hyperlink" Target="https://www.sancamillomilano.com/prestazioni/visita-psichiatrica/" TargetMode="External"/><Relationship Id="rId44" Type="http://schemas.openxmlformats.org/officeDocument/2006/relationships/hyperlink" Target="https://www.ucl.ac.uk/psychiatry/division-psychiatry?gridset=show" TargetMode="External"/><Relationship Id="rId52" Type="http://schemas.openxmlformats.org/officeDocument/2006/relationships/hyperlink" Target="https://healthandwelfare.idaho.gov/coe" TargetMode="External"/><Relationship Id="rId60" Type="http://schemas.openxmlformats.org/officeDocument/2006/relationships/hyperlink" Target="https://instituteofliving.org/programs-services/schizophrenia-treatment-services" TargetMode="External"/><Relationship Id="rId65" Type="http://schemas.openxmlformats.org/officeDocument/2006/relationships/printerSettings" Target="../printerSettings/printerSettings8.bin"/><Relationship Id="rId4" Type="http://schemas.openxmlformats.org/officeDocument/2006/relationships/hyperlink" Target="https://www.stjoes.ca/health-services/mental-health-addiction-services/mental-health-services/schizophrenia-community-integration-service-scis-" TargetMode="External"/><Relationship Id="rId9" Type="http://schemas.openxmlformats.org/officeDocument/2006/relationships/hyperlink" Target="https://www.ghu-paris.fr/fr/actualites/le-cjaad-detection-precoce-et-le-cenpare-pathologies-resistantes-labellises-centres" TargetMode="External"/><Relationship Id="rId13" Type="http://schemas.openxmlformats.org/officeDocument/2006/relationships/hyperlink" Target="https://www.fondation-fondamental.org/system/files/2024-01/plaquette_ce_schizo_marseille_01.2024.pdf" TargetMode="External"/><Relationship Id="rId18" Type="http://schemas.openxmlformats.org/officeDocument/2006/relationships/hyperlink" Target="https://www.fondation-fondamental.org/system/files/plaquette_ce_schizo_clermont-2021.pdf" TargetMode="External"/><Relationship Id="rId39" Type="http://schemas.openxmlformats.org/officeDocument/2006/relationships/hyperlink" Target="https://www.comunidad.madrid/hospital/gregoriomaranon/profesionales/instituto-psiquiatria-salud-mental/psiquiatria-nino-adolescente"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www.klinikum-weissenhof.de/" TargetMode="External"/><Relationship Id="rId117" Type="http://schemas.openxmlformats.org/officeDocument/2006/relationships/hyperlink" Target="https://www.sevenhillsbi.com/" TargetMode="External"/><Relationship Id="rId21" Type="http://schemas.openxmlformats.org/officeDocument/2006/relationships/hyperlink" Target="https://www.asklepios.com/hamburg/nord/psychiatrie-ochsenzoll/" TargetMode="External"/><Relationship Id="rId42" Type="http://schemas.openxmlformats.org/officeDocument/2006/relationships/hyperlink" Target="https://www.oberbergkliniken.de/fachkliniken/koeln-huerth" TargetMode="External"/><Relationship Id="rId47" Type="http://schemas.openxmlformats.org/officeDocument/2006/relationships/hyperlink" Target="https://www.parcotigli.it/patologie/disturbi-schizofrenici-e-psicosi" TargetMode="External"/><Relationship Id="rId63" Type="http://schemas.openxmlformats.org/officeDocument/2006/relationships/hyperlink" Target="https://chiakiclinic.littlestar.jp/index.html" TargetMode="External"/><Relationship Id="rId68" Type="http://schemas.openxmlformats.org/officeDocument/2006/relationships/hyperlink" Target="https://kitatoda-matsumoto.com/%E7%B5%B1%E5%90%88%E5%A4%B1%E8%AA%BF%E7%97%87" TargetMode="External"/><Relationship Id="rId84" Type="http://schemas.openxmlformats.org/officeDocument/2006/relationships/hyperlink" Target="https://www.menteamente.com/" TargetMode="External"/><Relationship Id="rId89" Type="http://schemas.openxmlformats.org/officeDocument/2006/relationships/hyperlink" Target="https://cardinalclinic.co.uk/conditions/psychosis/" TargetMode="External"/><Relationship Id="rId112" Type="http://schemas.openxmlformats.org/officeDocument/2006/relationships/hyperlink" Target="https://www.ohiohospitalforpsychiatry.com/" TargetMode="External"/><Relationship Id="rId16" Type="http://schemas.openxmlformats.org/officeDocument/2006/relationships/hyperlink" Target="https://www.fhp-hautsdefrance.com/annuaire/centre-robert-schuman/" TargetMode="External"/><Relationship Id="rId107" Type="http://schemas.openxmlformats.org/officeDocument/2006/relationships/hyperlink" Target="https://www.brightquest.com/" TargetMode="External"/><Relationship Id="rId11" Type="http://schemas.openxmlformats.org/officeDocument/2006/relationships/hyperlink" Target="https://clinique-bethanie.fr/" TargetMode="External"/><Relationship Id="rId32" Type="http://schemas.openxmlformats.org/officeDocument/2006/relationships/hyperlink" Target="https://mhiberlin.de/en/private-psychiatric-clinic" TargetMode="External"/><Relationship Id="rId37" Type="http://schemas.openxmlformats.org/officeDocument/2006/relationships/hyperlink" Target="https://www.pzn-wiesloch.de/" TargetMode="External"/><Relationship Id="rId53" Type="http://schemas.openxmlformats.org/officeDocument/2006/relationships/hyperlink" Target="https://neomesia.com/la-corte-di-carcare" TargetMode="External"/><Relationship Id="rId58" Type="http://schemas.openxmlformats.org/officeDocument/2006/relationships/hyperlink" Target="https://upmc.it/en/locations/salvator-mundi/services/psychology" TargetMode="External"/><Relationship Id="rId74" Type="http://schemas.openxmlformats.org/officeDocument/2006/relationships/hyperlink" Target="https://www.shibuya-mental.com/schizophrenia" TargetMode="External"/><Relationship Id="rId79" Type="http://schemas.openxmlformats.org/officeDocument/2006/relationships/hyperlink" Target="https://www.yotsubakano.com/%E7%B5%B1%E5%90%88%E5%A4%B1%E8%AA%BF%E7%97%87" TargetMode="External"/><Relationship Id="rId102" Type="http://schemas.openxmlformats.org/officeDocument/2006/relationships/hyperlink" Target="https://thebluetreeclinic.com/" TargetMode="External"/><Relationship Id="rId5" Type="http://schemas.openxmlformats.org/officeDocument/2006/relationships/hyperlink" Target="https://www.theroyal.ca/patient-care-information/clinics-services-programs/schizophrenia-recovery-program" TargetMode="External"/><Relationship Id="rId90" Type="http://schemas.openxmlformats.org/officeDocument/2006/relationships/hyperlink" Target="https://claimonthealth.co.uk/" TargetMode="External"/><Relationship Id="rId95" Type="http://schemas.openxmlformats.org/officeDocument/2006/relationships/hyperlink" Target="https://www.nightingalehospital.co.uk/specialists/" TargetMode="External"/><Relationship Id="rId22" Type="http://schemas.openxmlformats.org/officeDocument/2006/relationships/hyperlink" Target="https://www.awo-psychiatriezentrum.de/" TargetMode="External"/><Relationship Id="rId27" Type="http://schemas.openxmlformats.org/officeDocument/2006/relationships/hyperlink" Target="https://www.christoph-dornier-klinik.de/de/startseite.html" TargetMode="External"/><Relationship Id="rId43" Type="http://schemas.openxmlformats.org/officeDocument/2006/relationships/hyperlink" Target="https://www.ipu-berlin.de/en/psychoseambulanz-berlin/" TargetMode="External"/><Relationship Id="rId48" Type="http://schemas.openxmlformats.org/officeDocument/2006/relationships/hyperlink" Target="https://neomesia.com/casa-mioglia" TargetMode="External"/><Relationship Id="rId64" Type="http://schemas.openxmlformats.org/officeDocument/2006/relationships/hyperlink" Target="https://www.cocoro-yokohama.com/" TargetMode="External"/><Relationship Id="rId69" Type="http://schemas.openxmlformats.org/officeDocument/2006/relationships/hyperlink" Target="https://www.nankai.biz/symptom/into.html" TargetMode="External"/><Relationship Id="rId113" Type="http://schemas.openxmlformats.org/officeDocument/2006/relationships/hyperlink" Target="https://parksideinc.org/" TargetMode="External"/><Relationship Id="rId118" Type="http://schemas.openxmlformats.org/officeDocument/2006/relationships/hyperlink" Target="https://silverhillhospital.org/what-we-treat/mental-health-hospitals-ct/" TargetMode="External"/><Relationship Id="rId80" Type="http://schemas.openxmlformats.org/officeDocument/2006/relationships/hyperlink" Target="https://www.prolum.es/tratamientos/tratamiento-esquizofrenia-psicosis/" TargetMode="External"/><Relationship Id="rId85" Type="http://schemas.openxmlformats.org/officeDocument/2006/relationships/hyperlink" Target="https://clinicaperezespinosa.com/programa/programa-de-atencion-integral/" TargetMode="External"/><Relationship Id="rId12" Type="http://schemas.openxmlformats.org/officeDocument/2006/relationships/hyperlink" Target="https://caradoc.fr/pathologies_prise_en_charge.php" TargetMode="External"/><Relationship Id="rId17" Type="http://schemas.openxmlformats.org/officeDocument/2006/relationships/hyperlink" Target="https://www.cliniquesdesaujon.com/" TargetMode="External"/><Relationship Id="rId33" Type="http://schemas.openxmlformats.org/officeDocument/2006/relationships/hyperlink" Target="https://www.oberbergkliniken.de/fachkliniken/rhein-jura" TargetMode="External"/><Relationship Id="rId38" Type="http://schemas.openxmlformats.org/officeDocument/2006/relationships/hyperlink" Target="https://www.psychosomatik-diessen.de/" TargetMode="External"/><Relationship Id="rId59" Type="http://schemas.openxmlformats.org/officeDocument/2006/relationships/hyperlink" Target="https://neomesia.com/villa-dei-pini/" TargetMode="External"/><Relationship Id="rId103" Type="http://schemas.openxmlformats.org/officeDocument/2006/relationships/hyperlink" Target="https://www.thechelseapsychologyclinic.com/" TargetMode="External"/><Relationship Id="rId108" Type="http://schemas.openxmlformats.org/officeDocument/2006/relationships/hyperlink" Target="https://www.cedarcresthospital.com/" TargetMode="External"/><Relationship Id="rId54" Type="http://schemas.openxmlformats.org/officeDocument/2006/relationships/hyperlink" Target="https://neomesia.com/la-corte-di-orero" TargetMode="External"/><Relationship Id="rId70" Type="http://schemas.openxmlformats.org/officeDocument/2006/relationships/hyperlink" Target="https://omiya-mental-clinic.jp/menu/disease/schizophrenia/" TargetMode="External"/><Relationship Id="rId75" Type="http://schemas.openxmlformats.org/officeDocument/2006/relationships/hyperlink" Target="https://uruoi-clinic.jp/disease/schizophrenia/" TargetMode="External"/><Relationship Id="rId91" Type="http://schemas.openxmlformats.org/officeDocument/2006/relationships/hyperlink" Target="https://kingsbridgeprivatehospital.com/treatments-surgeries/outpatient-clinics/mental-health/psychiatry-adult-mental-health/" TargetMode="External"/><Relationship Id="rId96" Type="http://schemas.openxmlformats.org/officeDocument/2006/relationships/hyperlink" Target="https://www.priorygroup.com/mental-health/schizophrenia-treatment" TargetMode="External"/><Relationship Id="rId1" Type="http://schemas.openxmlformats.org/officeDocument/2006/relationships/hyperlink" Target="https://www.elisplace.org/our-solution/therapeutic-model/" TargetMode="External"/><Relationship Id="rId6" Type="http://schemas.openxmlformats.org/officeDocument/2006/relationships/hyperlink" Target="https://www.stjoes.ca/health-services/mental-health-addiction-services/mental-health-services/schizophrenia-community-integration-service-scis-" TargetMode="External"/><Relationship Id="rId23" Type="http://schemas.openxmlformats.org/officeDocument/2006/relationships/hyperlink" Target="https://www.akutklinik-badsaulgau.de/" TargetMode="External"/><Relationship Id="rId28" Type="http://schemas.openxmlformats.org/officeDocument/2006/relationships/hyperlink" Target="https://www.zfp-emmendingen.de/psychotische-stoerungen-schizophrenien" TargetMode="External"/><Relationship Id="rId49" Type="http://schemas.openxmlformats.org/officeDocument/2006/relationships/hyperlink" Target="https://neomesia.com/casa-pero" TargetMode="External"/><Relationship Id="rId114" Type="http://schemas.openxmlformats.org/officeDocument/2006/relationships/hyperlink" Target="https://hospital.uillinois.edu/es/primary-and-specialty-care/servicios-de-psiquiatria/servicios-clinicos-para-adultos/psicosis" TargetMode="External"/><Relationship Id="rId119" Type="http://schemas.openxmlformats.org/officeDocument/2006/relationships/hyperlink" Target="https://www.skylandtrail.org/" TargetMode="External"/><Relationship Id="rId44" Type="http://schemas.openxmlformats.org/officeDocument/2006/relationships/hyperlink" Target="https://www.vincera-kliniken.de/kliniken/bad-waldsee/" TargetMode="External"/><Relationship Id="rId60" Type="http://schemas.openxmlformats.org/officeDocument/2006/relationships/hyperlink" Target="https://neomesia.com/villa-jolanda" TargetMode="External"/><Relationship Id="rId65" Type="http://schemas.openxmlformats.org/officeDocument/2006/relationships/hyperlink" Target="https://hajime-mental.jp/about/271/" TargetMode="External"/><Relationship Id="rId81" Type="http://schemas.openxmlformats.org/officeDocument/2006/relationships/hyperlink" Target="https://www.cun.es/enfermedades-tratamientos/enfermedades/esquizofrenia" TargetMode="External"/><Relationship Id="rId86" Type="http://schemas.openxmlformats.org/officeDocument/2006/relationships/hyperlink" Target="https://assuredhealthcareandwellness.co.uk/" TargetMode="External"/><Relationship Id="rId4" Type="http://schemas.openxmlformats.org/officeDocument/2006/relationships/hyperlink" Target="https://www.prhc.on.ca/healthcare-services/mental-health-addictions/psychosis_assessment_treatment_clinic/" TargetMode="External"/><Relationship Id="rId9" Type="http://schemas.openxmlformats.org/officeDocument/2006/relationships/hyperlink" Target="https://clinique-aufrery.com/prises-en-charges/" TargetMode="External"/><Relationship Id="rId13" Type="http://schemas.openxmlformats.org/officeDocument/2006/relationships/hyperlink" Target="https://www.clinique-portes-eure.com/spectre-de-la-schizophrenie-_r_116.html" TargetMode="External"/><Relationship Id="rId18" Type="http://schemas.openxmlformats.org/officeDocument/2006/relationships/hyperlink" Target="https://clinique-cedres-toulouse.ramsaysante.fr/vous-etes-patient-pourquoi-choisir-notre-etablissement-tous-nos-soins/schizophrenie" TargetMode="External"/><Relationship Id="rId39" Type="http://schemas.openxmlformats.org/officeDocument/2006/relationships/hyperlink" Target="https://sanima-klinik.de/" TargetMode="External"/><Relationship Id="rId109" Type="http://schemas.openxmlformats.org/officeDocument/2006/relationships/hyperlink" Target="https://www.nygsh.org/psychotic-disorders.html" TargetMode="External"/><Relationship Id="rId34" Type="http://schemas.openxmlformats.org/officeDocument/2006/relationships/hyperlink" Target="https://www.oberbergkliniken.de/fachkliniken/duesseldorf-kaarst" TargetMode="External"/><Relationship Id="rId50" Type="http://schemas.openxmlformats.org/officeDocument/2006/relationships/hyperlink" Target="https://neomesia.com/casa-varazze" TargetMode="External"/><Relationship Id="rId55" Type="http://schemas.openxmlformats.org/officeDocument/2006/relationships/hyperlink" Target="https://www.ospedalemarialuigia.it/riabilitazione-psichiatrica/" TargetMode="External"/><Relationship Id="rId76" Type="http://schemas.openxmlformats.org/officeDocument/2006/relationships/hyperlink" Target="https://www.eijinkai.or.jp/about/feature02.html" TargetMode="External"/><Relationship Id="rId97" Type="http://schemas.openxmlformats.org/officeDocument/2006/relationships/hyperlink" Target="https://privatemedicalclinic.com/psychosis-specialist-in-birmingham/" TargetMode="External"/><Relationship Id="rId104" Type="http://schemas.openxmlformats.org/officeDocument/2006/relationships/hyperlink" Target="https://www.thesoke.uk/" TargetMode="External"/><Relationship Id="rId120" Type="http://schemas.openxmlformats.org/officeDocument/2006/relationships/hyperlink" Target="https://socalmentalhealth.com/disorders-treated/psychotic/schizophrenia/" TargetMode="External"/><Relationship Id="rId7" Type="http://schemas.openxmlformats.org/officeDocument/2006/relationships/hyperlink" Target="https://www.sunshinecoasthealthcentre.ca/our-approach/" TargetMode="External"/><Relationship Id="rId71" Type="http://schemas.openxmlformats.org/officeDocument/2006/relationships/hyperlink" Target="https://www.tokyomentalhealth.com/tokyo-psychiatry/" TargetMode="External"/><Relationship Id="rId92" Type="http://schemas.openxmlformats.org/officeDocument/2006/relationships/hyperlink" Target="https://www.londonpsychiatry.clinic/conditions/schizophrenia" TargetMode="External"/><Relationship Id="rId2" Type="http://schemas.openxmlformats.org/officeDocument/2006/relationships/hyperlink" Target="https://ravensview.com/" TargetMode="External"/><Relationship Id="rId29" Type="http://schemas.openxmlformats.org/officeDocument/2006/relationships/hyperlink" Target="https://janus-klinik.de/" TargetMode="External"/><Relationship Id="rId24" Type="http://schemas.openxmlformats.org/officeDocument/2006/relationships/hyperlink" Target="https://www.salus-lsa.de/kliniken-einrichtungen-leistungen/fachklinikum-bernburg/kliniken-leistungen/kliniken/psychiatrie-und-psychotherapie/psychiatrie-psychotherapie-und-psychosomatik" TargetMode="External"/><Relationship Id="rId40" Type="http://schemas.openxmlformats.org/officeDocument/2006/relationships/hyperlink" Target="https://www.parkkliniken-charlottenburg.de/de/Medizin/Fachbereiche/Psychiatrie_Psychotherapie/" TargetMode="External"/><Relationship Id="rId45" Type="http://schemas.openxmlformats.org/officeDocument/2006/relationships/hyperlink" Target="https://www.vitos.de/gesellschaften/vitos-hochtaunus/einrichtungen/vitos-klinik-fuer-psychiatrie-und-psychotherapie-bad-homburg/klinikprofil/" TargetMode="External"/><Relationship Id="rId66" Type="http://schemas.openxmlformats.org/officeDocument/2006/relationships/hyperlink" Target="https://psyche.clinic/english/" TargetMode="External"/><Relationship Id="rId87" Type="http://schemas.openxmlformats.org/officeDocument/2006/relationships/hyperlink" Target="https://www.cat-barcelona.com/tratamiento/esquizofrenia/" TargetMode="External"/><Relationship Id="rId110" Type="http://schemas.openxmlformats.org/officeDocument/2006/relationships/hyperlink" Target="https://www.northtampabehavioralhealth.com/" TargetMode="External"/><Relationship Id="rId115" Type="http://schemas.openxmlformats.org/officeDocument/2006/relationships/hyperlink" Target="https://www.sanjosebh.com/disorders/schizophrenia/causes-effects/" TargetMode="External"/><Relationship Id="rId61" Type="http://schemas.openxmlformats.org/officeDocument/2006/relationships/hyperlink" Target="https://neomesia.com/villa-sant-alessandro" TargetMode="External"/><Relationship Id="rId82" Type="http://schemas.openxmlformats.org/officeDocument/2006/relationships/hyperlink" Target="https://www.lopezibor.com/tratamientos/trastornos-psicoticos/" TargetMode="External"/><Relationship Id="rId19" Type="http://schemas.openxmlformats.org/officeDocument/2006/relationships/hyperlink" Target="https://www.valfleur.fr/maison+d+accueil+pour+schizophrene+allauch-z13" TargetMode="External"/><Relationship Id="rId14" Type="http://schemas.openxmlformats.org/officeDocument/2006/relationships/hyperlink" Target="https://www.emeis-cliniques.fr/clinique-les-oyats-calais-62/traitements-et-soins" TargetMode="External"/><Relationship Id="rId30" Type="http://schemas.openxmlformats.org/officeDocument/2006/relationships/hyperlink" Target="https://www.libermenta.com/" TargetMode="External"/><Relationship Id="rId35" Type="http://schemas.openxmlformats.org/officeDocument/2006/relationships/hyperlink" Target="https://www.oberbergkliniken.de/fachkliniken/weserbergland" TargetMode="External"/><Relationship Id="rId56" Type="http://schemas.openxmlformats.org/officeDocument/2006/relationships/hyperlink" Target="https://www.santannacasale.it/aree-di-riabilitazione/" TargetMode="External"/><Relationship Id="rId77" Type="http://schemas.openxmlformats.org/officeDocument/2006/relationships/hyperlink" Target="https://sanyokai-clinic.com/kokoro/category/news/schizophrenia/?gad_source=1&amp;gclid=EAIaIQobChMInIqU65HbiQMVr6NmAh1Vthl7EAAYAiAAEgLl4fD_BwE" TargetMode="External"/><Relationship Id="rId100" Type="http://schemas.openxmlformats.org/officeDocument/2006/relationships/hyperlink" Target="https://www.newvictoria.co.uk/treatments/specialities-treatments/psychiatry" TargetMode="External"/><Relationship Id="rId105" Type="http://schemas.openxmlformats.org/officeDocument/2006/relationships/hyperlink" Target="https://arborwellnessmh.com/" TargetMode="External"/><Relationship Id="rId8" Type="http://schemas.openxmlformats.org/officeDocument/2006/relationships/hyperlink" Target="https://www.clinique-anouste.fr/" TargetMode="External"/><Relationship Id="rId51" Type="http://schemas.openxmlformats.org/officeDocument/2006/relationships/hyperlink" Target="https://www.limes-schlossklinik-fuerstenhof.de/" TargetMode="External"/><Relationship Id="rId72" Type="http://schemas.openxmlformats.org/officeDocument/2006/relationships/hyperlink" Target="https://www.marianna-u.ac.jp/hospital/departments/schizophrenia_treatment" TargetMode="External"/><Relationship Id="rId93" Type="http://schemas.openxmlformats.org/officeDocument/2006/relationships/hyperlink" Target="https://www.maudsleyprivatecare.co.uk/find-a-clinician" TargetMode="External"/><Relationship Id="rId98" Type="http://schemas.openxmlformats.org/officeDocument/2006/relationships/hyperlink" Target="https://theprivatetherapyclinic.co.uk/issues/paranoia/" TargetMode="External"/><Relationship Id="rId121" Type="http://schemas.openxmlformats.org/officeDocument/2006/relationships/printerSettings" Target="../printerSettings/printerSettings9.bin"/><Relationship Id="rId3" Type="http://schemas.openxmlformats.org/officeDocument/2006/relationships/hyperlink" Target="https://www.ontarioshores.ca/what-expect/while-treatment/psychosis-or-schizophrenia-treament-and-recovery" TargetMode="External"/><Relationship Id="rId25" Type="http://schemas.openxmlformats.org/officeDocument/2006/relationships/hyperlink" Target="https://evkb.de/kliniken-zentren/psyche-nerven/psychiatrie-und-psychotherapie/ueber-uns" TargetMode="External"/><Relationship Id="rId46" Type="http://schemas.openxmlformats.org/officeDocument/2006/relationships/hyperlink" Target="https://www.vivantes.de/klinikum-neukoelln/psychiatrie-psychotherapie-und-psychosomatik" TargetMode="External"/><Relationship Id="rId67" Type="http://schemas.openxmlformats.org/officeDocument/2006/relationships/hyperlink" Target="https://www.kichijoji-hospital.com/tougo/index.html" TargetMode="External"/><Relationship Id="rId116" Type="http://schemas.openxmlformats.org/officeDocument/2006/relationships/hyperlink" Target="https://www.mcleanhospital.org/schizophrenia" TargetMode="External"/><Relationship Id="rId20" Type="http://schemas.openxmlformats.org/officeDocument/2006/relationships/hyperlink" Target="https://www.cmva92.com/" TargetMode="External"/><Relationship Id="rId41" Type="http://schemas.openxmlformats.org/officeDocument/2006/relationships/hyperlink" Target="https://www.schoen-klinik.de/bad-arolsen" TargetMode="External"/><Relationship Id="rId62" Type="http://schemas.openxmlformats.org/officeDocument/2006/relationships/hyperlink" Target="https://neomesia.com/ville-di-nozzano" TargetMode="External"/><Relationship Id="rId83" Type="http://schemas.openxmlformats.org/officeDocument/2006/relationships/hyperlink" Target="https://seranil.com/en/" TargetMode="External"/><Relationship Id="rId88" Type="http://schemas.openxmlformats.org/officeDocument/2006/relationships/hyperlink" Target="https://www.fitzroviamedicalclinic.com/mental-health" TargetMode="External"/><Relationship Id="rId111" Type="http://schemas.openxmlformats.org/officeDocument/2006/relationships/hyperlink" Target="https://novohealthcare.org/services" TargetMode="External"/><Relationship Id="rId15" Type="http://schemas.openxmlformats.org/officeDocument/2006/relationships/hyperlink" Target="https://www.clinique-nogent.com/" TargetMode="External"/><Relationship Id="rId36" Type="http://schemas.openxmlformats.org/officeDocument/2006/relationships/hyperlink" Target="https://www.heiligenfeld.de/kliniken/parkklinik-heiligenfeld" TargetMode="External"/><Relationship Id="rId57" Type="http://schemas.openxmlformats.org/officeDocument/2006/relationships/hyperlink" Target="https://www.grupposandonato.it/strutture/istituti-clinici-zucchi-carate-brianza/unita-operativa-psichiatria" TargetMode="External"/><Relationship Id="rId106" Type="http://schemas.openxmlformats.org/officeDocument/2006/relationships/hyperlink" Target="https://www.austenriggs.org/" TargetMode="External"/><Relationship Id="rId10" Type="http://schemas.openxmlformats.org/officeDocument/2006/relationships/hyperlink" Target="https://www.clinique-bellerive.fr/les-pathologies-soignees/psychose/" TargetMode="External"/><Relationship Id="rId31" Type="http://schemas.openxmlformats.org/officeDocument/2006/relationships/hyperlink" Target="https://www.limes-schlosskliniken.de/" TargetMode="External"/><Relationship Id="rId52" Type="http://schemas.openxmlformats.org/officeDocument/2006/relationships/hyperlink" Target="https://neomesia.com/casa-villa-margherita" TargetMode="External"/><Relationship Id="rId73" Type="http://schemas.openxmlformats.org/officeDocument/2006/relationships/hyperlink" Target="https://seidomae.com/schizophrenia.html" TargetMode="External"/><Relationship Id="rId78" Type="http://schemas.openxmlformats.org/officeDocument/2006/relationships/hyperlink" Target="https://motomachi-mental.com/medical/%e7%b5%b1%e5%90%88%e5%a4%b1%e8%aa%bf%e7%97%87/" TargetMode="External"/><Relationship Id="rId94" Type="http://schemas.openxmlformats.org/officeDocument/2006/relationships/hyperlink" Target="https://midlandhealth.co.uk/mental-health/psychiatric-clinic/" TargetMode="External"/><Relationship Id="rId99" Type="http://schemas.openxmlformats.org/officeDocument/2006/relationships/hyperlink" Target="https://www.circlehealthgroup.co.uk/specialities/psychiatry" TargetMode="External"/><Relationship Id="rId101" Type="http://schemas.openxmlformats.org/officeDocument/2006/relationships/hyperlink" Target="https://psymplicity.com/practitioner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online.ucpress.edu/collabra" TargetMode="External"/><Relationship Id="rId21" Type="http://schemas.openxmlformats.org/officeDocument/2006/relationships/hyperlink" Target="https://jamanetwork.com/journals/jamaneurology" TargetMode="External"/><Relationship Id="rId63" Type="http://schemas.openxmlformats.org/officeDocument/2006/relationships/hyperlink" Target="https://onlinelibrary.wiley.com/journal/17555949" TargetMode="External"/><Relationship Id="rId159" Type="http://schemas.openxmlformats.org/officeDocument/2006/relationships/hyperlink" Target="https://www.appi.org/Journal_of_Neuropsychiatry_and_Clinical_Neurosciences" TargetMode="External"/><Relationship Id="rId170" Type="http://schemas.openxmlformats.org/officeDocument/2006/relationships/hyperlink" Target="https://onlinelibrary.wiley.com/journal/jtsp" TargetMode="External"/><Relationship Id="rId226" Type="http://schemas.openxmlformats.org/officeDocument/2006/relationships/hyperlink" Target="https://www.jgerontology-geriatrics.com/index" TargetMode="External"/><Relationship Id="rId268" Type="http://schemas.openxmlformats.org/officeDocument/2006/relationships/hyperlink" Target="https://onlinelibrary.wiley.com/journal/24750360" TargetMode="External"/><Relationship Id="rId32" Type="http://schemas.openxmlformats.org/officeDocument/2006/relationships/hyperlink" Target="https://www.sciencedirect.com/journal/journal-of-the-american-academy-of-child-and-adolescent-psychiatry" TargetMode="External"/><Relationship Id="rId74" Type="http://schemas.openxmlformats.org/officeDocument/2006/relationships/hyperlink" Target="https://www.sciencedirect.com/journal/psychiatry-research" TargetMode="External"/><Relationship Id="rId128" Type="http://schemas.openxmlformats.org/officeDocument/2006/relationships/hyperlink" Target="https://onlinelibrary.wiley.com/journal/10974547" TargetMode="External"/><Relationship Id="rId5" Type="http://schemas.openxmlformats.org/officeDocument/2006/relationships/hyperlink" Target="https://www.cell.com/cell/editorial-board" TargetMode="External"/><Relationship Id="rId181" Type="http://schemas.openxmlformats.org/officeDocument/2006/relationships/hyperlink" Target="https://www.scitechnol.com/international-journal-of-mental-health-and-psychiatry.php" TargetMode="External"/><Relationship Id="rId237" Type="http://schemas.openxmlformats.org/officeDocument/2006/relationships/hyperlink" Target="https://www.e-agmr.org/" TargetMode="External"/><Relationship Id="rId279" Type="http://schemas.openxmlformats.org/officeDocument/2006/relationships/hyperlink" Target="https://journals.healio.com/journal/rgn" TargetMode="External"/><Relationship Id="rId43" Type="http://schemas.openxmlformats.org/officeDocument/2006/relationships/hyperlink" Target="https://www.tandfonline.com/journals/rhpr20" TargetMode="External"/><Relationship Id="rId139" Type="http://schemas.openxmlformats.org/officeDocument/2006/relationships/hyperlink" Target="https://onlinelibrary.wiley.com/journal/3037" TargetMode="External"/><Relationship Id="rId85" Type="http://schemas.openxmlformats.org/officeDocument/2006/relationships/hyperlink" Target="https://journals.lww.com/hrpjournal/pages/default.aspx" TargetMode="External"/><Relationship Id="rId150" Type="http://schemas.openxmlformats.org/officeDocument/2006/relationships/hyperlink" Target="https://www.frontiersin.org/journals/integrative-neuroscience" TargetMode="External"/><Relationship Id="rId171" Type="http://schemas.openxmlformats.org/officeDocument/2006/relationships/hyperlink" Target="https://www.tandfonline.com/journals/cphm20" TargetMode="External"/><Relationship Id="rId192" Type="http://schemas.openxmlformats.org/officeDocument/2006/relationships/hyperlink" Target="https://www.tandfonline.com/journals/pcns20" TargetMode="External"/><Relationship Id="rId206" Type="http://schemas.openxmlformats.org/officeDocument/2006/relationships/hyperlink" Target="https://www.tandfonline.com/journals/hapn21" TargetMode="External"/><Relationship Id="rId227" Type="http://schemas.openxmlformats.org/officeDocument/2006/relationships/hyperlink" Target="https://www.tandfonline.com/journals/wgge20" TargetMode="External"/><Relationship Id="rId248" Type="http://schemas.openxmlformats.org/officeDocument/2006/relationships/hyperlink" Target="https://www.scirp.org/journal/aimscope?journalid=1408" TargetMode="External"/><Relationship Id="rId269" Type="http://schemas.openxmlformats.org/officeDocument/2006/relationships/hyperlink" Target="https://journals.sagepub.com/home/jah" TargetMode="External"/><Relationship Id="rId12" Type="http://schemas.openxmlformats.org/officeDocument/2006/relationships/hyperlink" Target="https://jamanetwork.com/journals/jama" TargetMode="External"/><Relationship Id="rId33" Type="http://schemas.openxmlformats.org/officeDocument/2006/relationships/hyperlink" Target="https://onlinelibrary.wiley.com/journal/mij" TargetMode="External"/><Relationship Id="rId108" Type="http://schemas.openxmlformats.org/officeDocument/2006/relationships/hyperlink" Target="https://www.sciencedirect.com/journal/journal-of-experimental-social-psychology" TargetMode="External"/><Relationship Id="rId129" Type="http://schemas.openxmlformats.org/officeDocument/2006/relationships/hyperlink" Target="https://www.sciencedirect.com/journal/neuroscience" TargetMode="External"/><Relationship Id="rId280" Type="http://schemas.openxmlformats.org/officeDocument/2006/relationships/hyperlink" Target="https://www.sciencedirect.com/journal/npg-neurologie-psychiatrie-geriatrie" TargetMode="External"/><Relationship Id="rId54" Type="http://schemas.openxmlformats.org/officeDocument/2006/relationships/hyperlink" Target="https://link.springer.com/journal/11065" TargetMode="External"/><Relationship Id="rId75" Type="http://schemas.openxmlformats.org/officeDocument/2006/relationships/hyperlink" Target="https://www.tandfonline.com/journals/hcap20" TargetMode="External"/><Relationship Id="rId96" Type="http://schemas.openxmlformats.org/officeDocument/2006/relationships/hyperlink" Target="https://capmh.biomedcentral.com/" TargetMode="External"/><Relationship Id="rId140" Type="http://schemas.openxmlformats.org/officeDocument/2006/relationships/hyperlink" Target="https://onlinelibrary.wiley.com/journal/14609568" TargetMode="External"/><Relationship Id="rId161" Type="http://schemas.openxmlformats.org/officeDocument/2006/relationships/hyperlink" Target="https://www.tandfonline.com/journals/gpsh20" TargetMode="External"/><Relationship Id="rId182" Type="http://schemas.openxmlformats.org/officeDocument/2006/relationships/hyperlink" Target="https://onlinelibrary.wiley.com/journal/17517893" TargetMode="External"/><Relationship Id="rId217" Type="http://schemas.openxmlformats.org/officeDocument/2006/relationships/hyperlink" Target="https://link.springer.com/journal/42414" TargetMode="External"/><Relationship Id="rId6" Type="http://schemas.openxmlformats.org/officeDocument/2006/relationships/hyperlink" Target="https://www.bmj.com/about-bmj" TargetMode="External"/><Relationship Id="rId238" Type="http://schemas.openxmlformats.org/officeDocument/2006/relationships/hyperlink" Target="https://journals.sagepub.com/home/ggm" TargetMode="External"/><Relationship Id="rId259" Type="http://schemas.openxmlformats.org/officeDocument/2006/relationships/hyperlink" Target="https://academic.oup.com/biomedgerontology" TargetMode="External"/><Relationship Id="rId23" Type="http://schemas.openxmlformats.org/officeDocument/2006/relationships/hyperlink" Target="https://karger.com/pps" TargetMode="External"/><Relationship Id="rId119" Type="http://schemas.openxmlformats.org/officeDocument/2006/relationships/hyperlink" Target="https://www.aimspress.com/journal/neuroscience" TargetMode="External"/><Relationship Id="rId270" Type="http://schemas.openxmlformats.org/officeDocument/2006/relationships/hyperlink" Target="https://journals.sagepub.com/home/roa" TargetMode="External"/><Relationship Id="rId44" Type="http://schemas.openxmlformats.org/officeDocument/2006/relationships/hyperlink" Target="https://www.clinicalneuropsychiatry.org/" TargetMode="External"/><Relationship Id="rId65" Type="http://schemas.openxmlformats.org/officeDocument/2006/relationships/hyperlink" Target="https://onlinelibrary.wiley.com/journal/8604" TargetMode="External"/><Relationship Id="rId86" Type="http://schemas.openxmlformats.org/officeDocument/2006/relationships/hyperlink" Target="https://onlinelibrary.wiley.com/journal/10991166" TargetMode="External"/><Relationship Id="rId130" Type="http://schemas.openxmlformats.org/officeDocument/2006/relationships/hyperlink" Target="https://www.tandfonline.com/journals/camh20" TargetMode="External"/><Relationship Id="rId151" Type="http://schemas.openxmlformats.org/officeDocument/2006/relationships/hyperlink" Target="https://www.fortunejournals.com/journal-of-psychiatry-and-psychiatric-disorders-aimsscope-jppd.php" TargetMode="External"/><Relationship Id="rId172" Type="http://schemas.openxmlformats.org/officeDocument/2006/relationships/hyperlink" Target="https://www.sciencedirect.com/journal/new-ideas-in-psychology" TargetMode="External"/><Relationship Id="rId193" Type="http://schemas.openxmlformats.org/officeDocument/2006/relationships/hyperlink" Target="https://austinpublishinggroup.com/psychiatry-mental-disorders/" TargetMode="External"/><Relationship Id="rId207" Type="http://schemas.openxmlformats.org/officeDocument/2006/relationships/hyperlink" Target="https://onlinelibrary.wiley.com/journal/1931227x" TargetMode="External"/><Relationship Id="rId228" Type="http://schemas.openxmlformats.org/officeDocument/2006/relationships/hyperlink" Target="https://cgjonline.ca/index.php/cgj" TargetMode="External"/><Relationship Id="rId249" Type="http://schemas.openxmlformats.org/officeDocument/2006/relationships/hyperlink" Target="https://www.heraldopenaccess.us/journals/journal-of-alzheimers-neurodegenerative-diseases" TargetMode="External"/><Relationship Id="rId13" Type="http://schemas.openxmlformats.org/officeDocument/2006/relationships/hyperlink" Target="https://academic.oup.com/schizbullopen" TargetMode="External"/><Relationship Id="rId109" Type="http://schemas.openxmlformats.org/officeDocument/2006/relationships/hyperlink" Target="https://www.mdpi.com/journal/neurolint" TargetMode="External"/><Relationship Id="rId260" Type="http://schemas.openxmlformats.org/officeDocument/2006/relationships/hyperlink" Target="https://link.springer.com/journal/10433" TargetMode="External"/><Relationship Id="rId281" Type="http://schemas.openxmlformats.org/officeDocument/2006/relationships/hyperlink" Target="https://onlinelibrary.wiley.com/journal/3035" TargetMode="External"/><Relationship Id="rId34" Type="http://schemas.openxmlformats.org/officeDocument/2006/relationships/hyperlink" Target="https://jnnp.bmj.com/" TargetMode="External"/><Relationship Id="rId55" Type="http://schemas.openxmlformats.org/officeDocument/2006/relationships/hyperlink" Target="https://academic.oup.com/schizophreniabulletin" TargetMode="External"/><Relationship Id="rId76" Type="http://schemas.openxmlformats.org/officeDocument/2006/relationships/hyperlink" Target="https://jneurodevdisorders.biomedcentral.com/" TargetMode="External"/><Relationship Id="rId97" Type="http://schemas.openxmlformats.org/officeDocument/2006/relationships/hyperlink" Target="https://bmcpsychiatry.biomedcentral.com/" TargetMode="External"/><Relationship Id="rId120" Type="http://schemas.openxmlformats.org/officeDocument/2006/relationships/hyperlink" Target="https://www.sciencedirect.com/journal/journal-of-the-academy-of-consultation-liaison-psychiatry" TargetMode="External"/><Relationship Id="rId141" Type="http://schemas.openxmlformats.org/officeDocument/2006/relationships/hyperlink" Target="https://www.sciencedirect.com/journal/journal-of-neuroscience-methods" TargetMode="External"/><Relationship Id="rId7" Type="http://schemas.openxmlformats.org/officeDocument/2006/relationships/hyperlink" Target="https://annals.org/aim/pages/about-us" TargetMode="External"/><Relationship Id="rId162" Type="http://schemas.openxmlformats.org/officeDocument/2006/relationships/hyperlink" Target="https://pn.bmj.com/" TargetMode="External"/><Relationship Id="rId183" Type="http://schemas.openxmlformats.org/officeDocument/2006/relationships/hyperlink" Target="https://academic.oup.com/acn" TargetMode="External"/><Relationship Id="rId218" Type="http://schemas.openxmlformats.org/officeDocument/2006/relationships/hyperlink" Target="https://www.j-alz.com/" TargetMode="External"/><Relationship Id="rId239" Type="http://schemas.openxmlformats.org/officeDocument/2006/relationships/hyperlink" Target="https://www.sciencedirect.com/journal/clinics-in-geriatric-medicine" TargetMode="External"/><Relationship Id="rId250" Type="http://schemas.openxmlformats.org/officeDocument/2006/relationships/hyperlink" Target="https://www.jle.com/fr/revues/gpn/revue.phtml" TargetMode="External"/><Relationship Id="rId271" Type="http://schemas.openxmlformats.org/officeDocument/2006/relationships/hyperlink" Target="https://www.cambridge.org/core/journals/canadian-journal-on-aging-la-revue-canadienne-du-vieillissement" TargetMode="External"/><Relationship Id="rId24" Type="http://schemas.openxmlformats.org/officeDocument/2006/relationships/hyperlink" Target="https://psychiatryonline.org/ajp/about" TargetMode="External"/><Relationship Id="rId45" Type="http://schemas.openxmlformats.org/officeDocument/2006/relationships/hyperlink" Target="https://www.clinicalschizophrenia.net/" TargetMode="External"/><Relationship Id="rId66" Type="http://schemas.openxmlformats.org/officeDocument/2006/relationships/hyperlink" Target="https://www.tandfonline.com/journals/uqrp20" TargetMode="External"/><Relationship Id="rId87" Type="http://schemas.openxmlformats.org/officeDocument/2006/relationships/hyperlink" Target="https://iaap-journals.onlinelibrary.wiley.com/journal/17580854" TargetMode="External"/><Relationship Id="rId110" Type="http://schemas.openxmlformats.org/officeDocument/2006/relationships/hyperlink" Target="https://academic.oup.com/jnen" TargetMode="External"/><Relationship Id="rId131" Type="http://schemas.openxmlformats.org/officeDocument/2006/relationships/hyperlink" Target="https://www.tandfonline.com/journals/dprb20" TargetMode="External"/><Relationship Id="rId152" Type="http://schemas.openxmlformats.org/officeDocument/2006/relationships/hyperlink" Target="https://www.sciencedirect.com/journal/the-european-journal-of-psychiatry" TargetMode="External"/><Relationship Id="rId173" Type="http://schemas.openxmlformats.org/officeDocument/2006/relationships/hyperlink" Target="https://www.cambridge.org/core/journals/spanish-journal-of-psychology" TargetMode="External"/><Relationship Id="rId194" Type="http://schemas.openxmlformats.org/officeDocument/2006/relationships/hyperlink" Target="https://austinpublishinggroup.com/schizophrenia/" TargetMode="External"/><Relationship Id="rId208" Type="http://schemas.openxmlformats.org/officeDocument/2006/relationships/hyperlink" Target="https://www.emeraldgrouppublishing.com/journal/amhid" TargetMode="External"/><Relationship Id="rId229" Type="http://schemas.openxmlformats.org/officeDocument/2006/relationships/hyperlink" Target="https://link.springer.com/journal/13670" TargetMode="External"/><Relationship Id="rId240" Type="http://schemas.openxmlformats.org/officeDocument/2006/relationships/hyperlink" Target="https://karger.com/dem" TargetMode="External"/><Relationship Id="rId261" Type="http://schemas.openxmlformats.org/officeDocument/2006/relationships/hyperlink" Target="https://eurapa.biomedcentral.com/about" TargetMode="External"/><Relationship Id="rId14" Type="http://schemas.openxmlformats.org/officeDocument/2006/relationships/hyperlink" Target="https://onlinelibrary.wiley.com/journal/20515545" TargetMode="External"/><Relationship Id="rId35" Type="http://schemas.openxmlformats.org/officeDocument/2006/relationships/hyperlink" Target="https://onlinelibrary.wiley.com/journal/15318249" TargetMode="External"/><Relationship Id="rId56" Type="http://schemas.openxmlformats.org/officeDocument/2006/relationships/hyperlink" Target="https://www.psychiatrist.com/jcp/about-jcp/" TargetMode="External"/><Relationship Id="rId77" Type="http://schemas.openxmlformats.org/officeDocument/2006/relationships/hyperlink" Target="https://www.jpn.ca/" TargetMode="External"/><Relationship Id="rId100" Type="http://schemas.openxmlformats.org/officeDocument/2006/relationships/hyperlink" Target="https://annals-general-psychiatry.biomedcentral.com/" TargetMode="External"/><Relationship Id="rId282" Type="http://schemas.openxmlformats.org/officeDocument/2006/relationships/hyperlink" Target="https://www.jstage.jst.go.jp/browse/geriatrics/-char/en" TargetMode="External"/><Relationship Id="rId8" Type="http://schemas.openxmlformats.org/officeDocument/2006/relationships/hyperlink" Target="https://www.nature.com/cr/about/editorial-board" TargetMode="External"/><Relationship Id="rId98" Type="http://schemas.openxmlformats.org/officeDocument/2006/relationships/hyperlink" Target="https://onlinelibrary.wiley.com/journal/15732770" TargetMode="External"/><Relationship Id="rId121" Type="http://schemas.openxmlformats.org/officeDocument/2006/relationships/hyperlink" Target="https://www.tandfonline.com/journals/iwbp20/about-this-journal" TargetMode="External"/><Relationship Id="rId142" Type="http://schemas.openxmlformats.org/officeDocument/2006/relationships/hyperlink" Target="https://www.tandfonline.com/journals/iacp20" TargetMode="External"/><Relationship Id="rId163" Type="http://schemas.openxmlformats.org/officeDocument/2006/relationships/hyperlink" Target="https://www.frontiersin.org/journals/human-neuroscience" TargetMode="External"/><Relationship Id="rId184" Type="http://schemas.openxmlformats.org/officeDocument/2006/relationships/hyperlink" Target="https://onlinelibrary.wiley.com/journal/10990720" TargetMode="External"/><Relationship Id="rId219" Type="http://schemas.openxmlformats.org/officeDocument/2006/relationships/hyperlink" Target="https://www.eurekaselect.com/journal/66/about-journal" TargetMode="External"/><Relationship Id="rId230" Type="http://schemas.openxmlformats.org/officeDocument/2006/relationships/hyperlink" Target="https://www.mdpi.com/journal/geriatrics/about" TargetMode="External"/><Relationship Id="rId251" Type="http://schemas.openxmlformats.org/officeDocument/2006/relationships/hyperlink" Target="https://www.thelancet.com/journals/lanhl/home" TargetMode="External"/><Relationship Id="rId25" Type="http://schemas.openxmlformats.org/officeDocument/2006/relationships/hyperlink" Target="https://www.cell.com/trends/neurosciences/home" TargetMode="External"/><Relationship Id="rId46" Type="http://schemas.openxmlformats.org/officeDocument/2006/relationships/hyperlink" Target="https://www.sciencedirect.com/journal/current-opinion-in-psychology" TargetMode="External"/><Relationship Id="rId67" Type="http://schemas.openxmlformats.org/officeDocument/2006/relationships/hyperlink" Target="https://www.sciencedirect.com/journal/developmental-cognitive-neuroscience" TargetMode="External"/><Relationship Id="rId272" Type="http://schemas.openxmlformats.org/officeDocument/2006/relationships/hyperlink" Target="https://www.tandfonline.com/journals/wjwa20" TargetMode="External"/><Relationship Id="rId88" Type="http://schemas.openxmlformats.org/officeDocument/2006/relationships/hyperlink" Target="https://apa.org/pubs/journals/cou" TargetMode="External"/><Relationship Id="rId111" Type="http://schemas.openxmlformats.org/officeDocument/2006/relationships/hyperlink" Target="https://www.frontiersin.org/journals/neuroscience" TargetMode="External"/><Relationship Id="rId132" Type="http://schemas.openxmlformats.org/officeDocument/2006/relationships/hyperlink" Target="https://journals.sagepub.com/home/jgp" TargetMode="External"/><Relationship Id="rId153" Type="http://schemas.openxmlformats.org/officeDocument/2006/relationships/hyperlink" Target="https://journals.sagepub.com/home/hpq" TargetMode="External"/><Relationship Id="rId174" Type="http://schemas.openxmlformats.org/officeDocument/2006/relationships/hyperlink" Target="https://onlinelibrary.wiley.com/journal/10969861" TargetMode="External"/><Relationship Id="rId195" Type="http://schemas.openxmlformats.org/officeDocument/2006/relationships/hyperlink" Target="https://link.springer.com/journal/10597" TargetMode="External"/><Relationship Id="rId209" Type="http://schemas.openxmlformats.org/officeDocument/2006/relationships/hyperlink" Target="https://www.tandfonline.com/journals/rpsy20" TargetMode="External"/><Relationship Id="rId220" Type="http://schemas.openxmlformats.org/officeDocument/2006/relationships/hyperlink" Target="https://journals.sagepub.com/home/aja" TargetMode="External"/><Relationship Id="rId241" Type="http://schemas.openxmlformats.org/officeDocument/2006/relationships/hyperlink" Target="https://link.springer.com/journal/41999" TargetMode="External"/><Relationship Id="rId15" Type="http://schemas.openxmlformats.org/officeDocument/2006/relationships/hyperlink" Target="https://www.thelancet.com/journals/laneur/home" TargetMode="External"/><Relationship Id="rId36" Type="http://schemas.openxmlformats.org/officeDocument/2006/relationships/hyperlink" Target="https://www.cambridge.org/core/journals/european-psychiatry/information/about-this-journal" TargetMode="External"/><Relationship Id="rId57" Type="http://schemas.openxmlformats.org/officeDocument/2006/relationships/hyperlink" Target="https://gpsych.bmj.com/" TargetMode="External"/><Relationship Id="rId262" Type="http://schemas.openxmlformats.org/officeDocument/2006/relationships/hyperlink" Target="https://www.sciencedirect.com/journal/neurobiology-of-aging" TargetMode="External"/><Relationship Id="rId283" Type="http://schemas.openxmlformats.org/officeDocument/2006/relationships/hyperlink" Target="https://www.thelancet.com/lanpsy/about" TargetMode="External"/><Relationship Id="rId78" Type="http://schemas.openxmlformats.org/officeDocument/2006/relationships/hyperlink" Target="https://journals.lww.com/co-neurology/pages/default.aspx" TargetMode="External"/><Relationship Id="rId99" Type="http://schemas.openxmlformats.org/officeDocument/2006/relationships/hyperlink" Target="https://www.degruyter.com/journal/key/revneuro/html?lang=en" TargetMode="External"/><Relationship Id="rId101" Type="http://schemas.openxmlformats.org/officeDocument/2006/relationships/hyperlink" Target="https://journals.sagepub.com/home/CPA" TargetMode="External"/><Relationship Id="rId122" Type="http://schemas.openxmlformats.org/officeDocument/2006/relationships/hyperlink" Target="https://journals.sagepub.com/home/smh" TargetMode="External"/><Relationship Id="rId143" Type="http://schemas.openxmlformats.org/officeDocument/2006/relationships/hyperlink" Target="https://www.press.jhu.edu/journals/philosophy-psychiatry-psychology" TargetMode="External"/><Relationship Id="rId164" Type="http://schemas.openxmlformats.org/officeDocument/2006/relationships/hyperlink" Target="https://bmcneurosci.biomedcentral.com/" TargetMode="External"/><Relationship Id="rId185" Type="http://schemas.openxmlformats.org/officeDocument/2006/relationships/hyperlink" Target="https://www.hogrefe.com/us/journal/european-journal-of-health-psychology" TargetMode="External"/><Relationship Id="rId9" Type="http://schemas.openxmlformats.org/officeDocument/2006/relationships/hyperlink" Target="https://onlinelibrary.wiley.com/page/journal/1469185x/homepage/editorialboard.html" TargetMode="External"/><Relationship Id="rId210" Type="http://schemas.openxmlformats.org/officeDocument/2006/relationships/hyperlink" Target="https://journals.sagepub.com/home/ijp" TargetMode="External"/><Relationship Id="rId26" Type="http://schemas.openxmlformats.org/officeDocument/2006/relationships/hyperlink" Target="https://www.sciencedirect.com/journal/clinical-psychology-review" TargetMode="External"/><Relationship Id="rId231" Type="http://schemas.openxmlformats.org/officeDocument/2006/relationships/hyperlink" Target="https://www.sciencedirect.com/journal/archives-of-gerontology-and-geriatrics" TargetMode="External"/><Relationship Id="rId252" Type="http://schemas.openxmlformats.org/officeDocument/2006/relationships/hyperlink" Target="https://www.aginganddisease.org/EN/2152-5250/home.shtml" TargetMode="External"/><Relationship Id="rId273" Type="http://schemas.openxmlformats.org/officeDocument/2006/relationships/hyperlink" Target="https://onlinelibrary.wiley.com/journal/9025" TargetMode="External"/><Relationship Id="rId47" Type="http://schemas.openxmlformats.org/officeDocument/2006/relationships/hyperlink" Target="https://link.springer.com/journal/787/editors" TargetMode="External"/><Relationship Id="rId68" Type="http://schemas.openxmlformats.org/officeDocument/2006/relationships/hyperlink" Target="https://www.apa.org/pubs/journals/ccp" TargetMode="External"/><Relationship Id="rId89" Type="http://schemas.openxmlformats.org/officeDocument/2006/relationships/hyperlink" Target="https://www.apa.org/pubs/journals/xge" TargetMode="External"/><Relationship Id="rId112" Type="http://schemas.openxmlformats.org/officeDocument/2006/relationships/hyperlink" Target="https://direct.mit.edu/jocn" TargetMode="External"/><Relationship Id="rId133" Type="http://schemas.openxmlformats.org/officeDocument/2006/relationships/hyperlink" Target="https://www.tandfonline.com/journals/upsy20" TargetMode="External"/><Relationship Id="rId154" Type="http://schemas.openxmlformats.org/officeDocument/2006/relationships/hyperlink" Target="https://onlinelibrary.wiley.com/journal/10974679" TargetMode="External"/><Relationship Id="rId175" Type="http://schemas.openxmlformats.org/officeDocument/2006/relationships/hyperlink" Target="https://karger.com/dne" TargetMode="External"/><Relationship Id="rId196" Type="http://schemas.openxmlformats.org/officeDocument/2006/relationships/hyperlink" Target="https://www.tandfonline.com/journals/ncen20" TargetMode="External"/><Relationship Id="rId200" Type="http://schemas.openxmlformats.org/officeDocument/2006/relationships/hyperlink" Target="https://www.tandfonline.com/journals/umid20" TargetMode="External"/><Relationship Id="rId16" Type="http://schemas.openxmlformats.org/officeDocument/2006/relationships/hyperlink" Target="https://www.nature.com/nrn/" TargetMode="External"/><Relationship Id="rId221" Type="http://schemas.openxmlformats.org/officeDocument/2006/relationships/hyperlink" Target="https://journals.lww.com/alzheimerjournal/pages/default.aspx" TargetMode="External"/><Relationship Id="rId242" Type="http://schemas.openxmlformats.org/officeDocument/2006/relationships/hyperlink" Target="https://journals.lww.com/jgpt/pages/default.aspx" TargetMode="External"/><Relationship Id="rId263" Type="http://schemas.openxmlformats.org/officeDocument/2006/relationships/hyperlink" Target="https://link.springer.com/journal/40520" TargetMode="External"/><Relationship Id="rId284" Type="http://schemas.openxmlformats.org/officeDocument/2006/relationships/hyperlink" Target="https://www.thieme-connect.com/products/ejournals/journal/10.1055/s-00000071" TargetMode="External"/><Relationship Id="rId37" Type="http://schemas.openxmlformats.org/officeDocument/2006/relationships/hyperlink" Target="https://journals.sagepub.com/home/psr" TargetMode="External"/><Relationship Id="rId58" Type="http://schemas.openxmlformats.org/officeDocument/2006/relationships/hyperlink" Target="https://www.sciencedirect.com/journal/progress-in-neuro-psychopharmacology-and-biological-psychiatry" TargetMode="External"/><Relationship Id="rId79" Type="http://schemas.openxmlformats.org/officeDocument/2006/relationships/hyperlink" Target="https://www.neurology.org/journal/nxg" TargetMode="External"/><Relationship Id="rId102" Type="http://schemas.openxmlformats.org/officeDocument/2006/relationships/hyperlink" Target="https://onlinelibrary.wiley.com/journal/1464066X" TargetMode="External"/><Relationship Id="rId123" Type="http://schemas.openxmlformats.org/officeDocument/2006/relationships/hyperlink" Target="https://ejop.psychopen.eu/index.php/ejop" TargetMode="External"/><Relationship Id="rId144" Type="http://schemas.openxmlformats.org/officeDocument/2006/relationships/hyperlink" Target="https://www.tandfonline.com/journals/tpsr20" TargetMode="External"/><Relationship Id="rId90" Type="http://schemas.openxmlformats.org/officeDocument/2006/relationships/hyperlink" Target="https://www.apa.org/pubs/journals/pag" TargetMode="External"/><Relationship Id="rId165" Type="http://schemas.openxmlformats.org/officeDocument/2006/relationships/hyperlink" Target="https://www.sciencedirect.com/journal/neuroscience-research" TargetMode="External"/><Relationship Id="rId186" Type="http://schemas.openxmlformats.org/officeDocument/2006/relationships/hyperlink" Target="https://karger.com/ene" TargetMode="External"/><Relationship Id="rId211" Type="http://schemas.openxmlformats.org/officeDocument/2006/relationships/hyperlink" Target="https://www.techscience.com/journal/IJMHP" TargetMode="External"/><Relationship Id="rId232" Type="http://schemas.openxmlformats.org/officeDocument/2006/relationships/hyperlink" Target="https://bmcgeriatr.biomedcentral.com/" TargetMode="External"/><Relationship Id="rId253" Type="http://schemas.openxmlformats.org/officeDocument/2006/relationships/hyperlink" Target="https://academic.oup.com/ageing" TargetMode="External"/><Relationship Id="rId274" Type="http://schemas.openxmlformats.org/officeDocument/2006/relationships/hyperlink" Target="https://www.tandfonline.com/journals/uear20" TargetMode="External"/><Relationship Id="rId27" Type="http://schemas.openxmlformats.org/officeDocument/2006/relationships/hyperlink" Target="https://www.annualreviews.org/content/journals/neuro" TargetMode="External"/><Relationship Id="rId48" Type="http://schemas.openxmlformats.org/officeDocument/2006/relationships/hyperlink" Target="https://www.sciencedirect.com/journal/international-journal-of-clinical-and-health-psychology" TargetMode="External"/><Relationship Id="rId69" Type="http://schemas.openxmlformats.org/officeDocument/2006/relationships/hyperlink" Target="https://onlinelibrary.wiley.com/journal/14681331" TargetMode="External"/><Relationship Id="rId113" Type="http://schemas.openxmlformats.org/officeDocument/2006/relationships/hyperlink" Target="https://www.sciencedirect.com/journal/autonomic-neuroscience" TargetMode="External"/><Relationship Id="rId134" Type="http://schemas.openxmlformats.org/officeDocument/2006/relationships/hyperlink" Target="https://www.sciencedirect.com/journal/biological-psychology" TargetMode="External"/><Relationship Id="rId80" Type="http://schemas.openxmlformats.org/officeDocument/2006/relationships/hyperlink" Target="https://bpspsychub.onlinelibrary.wiley.com/journal/20448260" TargetMode="External"/><Relationship Id="rId155" Type="http://schemas.openxmlformats.org/officeDocument/2006/relationships/hyperlink" Target="https://journals.sagepub.com/home/jbp" TargetMode="External"/><Relationship Id="rId176" Type="http://schemas.openxmlformats.org/officeDocument/2006/relationships/hyperlink" Target="https://hpr.termedia.pl/About-the-Journal,3418.html" TargetMode="External"/><Relationship Id="rId197" Type="http://schemas.openxmlformats.org/officeDocument/2006/relationships/hyperlink" Target="https://www.sciencedirect.com/journal/mental-health-and-prevention" TargetMode="External"/><Relationship Id="rId201" Type="http://schemas.openxmlformats.org/officeDocument/2006/relationships/hyperlink" Target="https://www.tandfonline.com/journals/hdvn20" TargetMode="External"/><Relationship Id="rId222" Type="http://schemas.openxmlformats.org/officeDocument/2006/relationships/hyperlink" Target="https://alzres.biomedcentral.com/about" TargetMode="External"/><Relationship Id="rId243" Type="http://schemas.openxmlformats.org/officeDocument/2006/relationships/hyperlink" Target="https://www.sciencedirect.com/journal/geriatric-nursing" TargetMode="External"/><Relationship Id="rId264" Type="http://schemas.openxmlformats.org/officeDocument/2006/relationships/hyperlink" Target="https://link.springer.com/journal/40266" TargetMode="External"/><Relationship Id="rId285" Type="http://schemas.openxmlformats.org/officeDocument/2006/relationships/hyperlink" Target="https://www.neurology.org/journal/wnl" TargetMode="External"/><Relationship Id="rId17" Type="http://schemas.openxmlformats.org/officeDocument/2006/relationships/hyperlink" Target="https://www.nature.com/nrneurol/" TargetMode="External"/><Relationship Id="rId38" Type="http://schemas.openxmlformats.org/officeDocument/2006/relationships/hyperlink" Target="https://journals.lww.com/co-psychiatry/pages/default.aspx" TargetMode="External"/><Relationship Id="rId59" Type="http://schemas.openxmlformats.org/officeDocument/2006/relationships/hyperlink" Target="https://onlinelibrary.wiley.com/journal/14401819" TargetMode="External"/><Relationship Id="rId103" Type="http://schemas.openxmlformats.org/officeDocument/2006/relationships/hyperlink" Target="https://www.tandfonline.com/journals/iirp20" TargetMode="External"/><Relationship Id="rId124" Type="http://schemas.openxmlformats.org/officeDocument/2006/relationships/hyperlink" Target="https://www.sciencedirect.com/journal/cognitive-psychology" TargetMode="External"/><Relationship Id="rId70" Type="http://schemas.openxmlformats.org/officeDocument/2006/relationships/hyperlink" Target="https://www.sciencedirect.com/journal/the-american-journal-of-geriatric-psychiatry" TargetMode="External"/><Relationship Id="rId91" Type="http://schemas.openxmlformats.org/officeDocument/2006/relationships/hyperlink" Target="https://www.sciencedirect.com/journal/schizophrenia-research" TargetMode="External"/><Relationship Id="rId145" Type="http://schemas.openxmlformats.org/officeDocument/2006/relationships/hyperlink" Target="https://www.apa.org/pubs/journals/pst" TargetMode="External"/><Relationship Id="rId166" Type="http://schemas.openxmlformats.org/officeDocument/2006/relationships/hyperlink" Target="https://cab.unime.it/journals/index.php/MJCP/index" TargetMode="External"/><Relationship Id="rId187" Type="http://schemas.openxmlformats.org/officeDocument/2006/relationships/hyperlink" Target="https://link.springer.com/journal/40473" TargetMode="External"/><Relationship Id="rId1" Type="http://schemas.openxmlformats.org/officeDocument/2006/relationships/hyperlink" Target="https://www.nejm.org/about-nejm/editors-and-publishers" TargetMode="External"/><Relationship Id="rId212" Type="http://schemas.openxmlformats.org/officeDocument/2006/relationships/hyperlink" Target="https://www.emeraldgrouppublishing.com/journal/mhrj" TargetMode="External"/><Relationship Id="rId233" Type="http://schemas.openxmlformats.org/officeDocument/2006/relationships/hyperlink" Target="https://onlinelibrary.wiley.com/journal/14470594" TargetMode="External"/><Relationship Id="rId254" Type="http://schemas.openxmlformats.org/officeDocument/2006/relationships/hyperlink" Target="https://www.jahonline.org/" TargetMode="External"/><Relationship Id="rId28" Type="http://schemas.openxmlformats.org/officeDocument/2006/relationships/hyperlink" Target="https://www.cambridge.org/core/journals/the-british-journal-of-psychiatry/information/about-this-journal" TargetMode="External"/><Relationship Id="rId49" Type="http://schemas.openxmlformats.org/officeDocument/2006/relationships/hyperlink" Target="https://www.nature.com/tp/" TargetMode="External"/><Relationship Id="rId114" Type="http://schemas.openxmlformats.org/officeDocument/2006/relationships/hyperlink" Target="https://ijmhs.biomedcentral.com/" TargetMode="External"/><Relationship Id="rId275" Type="http://schemas.openxmlformats.org/officeDocument/2006/relationships/hyperlink" Target="https://journals.humankinetics.com/view/journals/japa/japa-overview.xml" TargetMode="External"/><Relationship Id="rId60" Type="http://schemas.openxmlformats.org/officeDocument/2006/relationships/hyperlink" Target="https://mental.jmir.org/" TargetMode="External"/><Relationship Id="rId81" Type="http://schemas.openxmlformats.org/officeDocument/2006/relationships/hyperlink" Target="https://bpspsychub.onlinelibrary.wiley.com/journal/20448341" TargetMode="External"/><Relationship Id="rId135" Type="http://schemas.openxmlformats.org/officeDocument/2006/relationships/hyperlink" Target="https://onlinelibrary.wiley.com/journal/10991298" TargetMode="External"/><Relationship Id="rId156" Type="http://schemas.openxmlformats.org/officeDocument/2006/relationships/hyperlink" Target="https://link.springer.com/journal/12144" TargetMode="External"/><Relationship Id="rId177" Type="http://schemas.openxmlformats.org/officeDocument/2006/relationships/hyperlink" Target="https://www.tandfonline.com/journals/vjrl20" TargetMode="External"/><Relationship Id="rId198" Type="http://schemas.openxmlformats.org/officeDocument/2006/relationships/hyperlink" Target="https://www.sciencedirect.com/journal/journal-of-behavior-therapy-and-experimental-psychiatry" TargetMode="External"/><Relationship Id="rId202" Type="http://schemas.openxmlformats.org/officeDocument/2006/relationships/hyperlink" Target="https://www.tandfonline.com/journals/nanc20" TargetMode="External"/><Relationship Id="rId223" Type="http://schemas.openxmlformats.org/officeDocument/2006/relationships/hyperlink" Target="https://agsjournals.onlinelibrary.wiley.com/journal/15325415" TargetMode="External"/><Relationship Id="rId244" Type="http://schemas.openxmlformats.org/officeDocument/2006/relationships/hyperlink" Target="https://www.hogrefe.com/ch/zeitschrift/geropsych" TargetMode="External"/><Relationship Id="rId18" Type="http://schemas.openxmlformats.org/officeDocument/2006/relationships/hyperlink" Target="https://www.annualreviews.org/content/journals/psych" TargetMode="External"/><Relationship Id="rId39" Type="http://schemas.openxmlformats.org/officeDocument/2006/relationships/hyperlink" Target="https://www.sciencedirect.com/journal/neuroscience-and-biobehavioral-reviews" TargetMode="External"/><Relationship Id="rId265" Type="http://schemas.openxmlformats.org/officeDocument/2006/relationships/hyperlink" Target="https://link.springer.com/journal/42415" TargetMode="External"/><Relationship Id="rId286" Type="http://schemas.openxmlformats.org/officeDocument/2006/relationships/hyperlink" Target="https://www.sciencedirect.com/journal/revista-espanola-de-geriatria-y-gerontologia/about/editorial-board" TargetMode="External"/><Relationship Id="rId50" Type="http://schemas.openxmlformats.org/officeDocument/2006/relationships/hyperlink" Target="https://link.springer.com/journal/406" TargetMode="External"/><Relationship Id="rId104" Type="http://schemas.openxmlformats.org/officeDocument/2006/relationships/hyperlink" Target="https://www.frontiersin.org/journals/psychiatry" TargetMode="External"/><Relationship Id="rId125" Type="http://schemas.openxmlformats.org/officeDocument/2006/relationships/hyperlink" Target="https://www.tandfonline.com/journals/ijmh20" TargetMode="External"/><Relationship Id="rId146" Type="http://schemas.openxmlformats.org/officeDocument/2006/relationships/hyperlink" Target="https://www.frontiersin.org/journals/psychology" TargetMode="External"/><Relationship Id="rId167" Type="http://schemas.openxmlformats.org/officeDocument/2006/relationships/hyperlink" Target="https://www.sciencedirect.com/journal/schizophrenia-research-cognition" TargetMode="External"/><Relationship Id="rId188" Type="http://schemas.openxmlformats.org/officeDocument/2006/relationships/hyperlink" Target="https://onlinelibrary.wiley.com/journal/1932863X" TargetMode="External"/><Relationship Id="rId71" Type="http://schemas.openxmlformats.org/officeDocument/2006/relationships/hyperlink" Target="https://onlinelibrary.wiley.com/journal/23289503" TargetMode="External"/><Relationship Id="rId92" Type="http://schemas.openxmlformats.org/officeDocument/2006/relationships/hyperlink" Target="https://link.springer.com/journal/127" TargetMode="External"/><Relationship Id="rId213" Type="http://schemas.openxmlformats.org/officeDocument/2006/relationships/hyperlink" Target="https://alz-journals.onlinelibrary.wiley.com/journal/23528737" TargetMode="External"/><Relationship Id="rId234" Type="http://schemas.openxmlformats.org/officeDocument/2006/relationships/hyperlink" Target="https://onlinelibrary.wiley.com/journal/14798301" TargetMode="External"/><Relationship Id="rId2" Type="http://schemas.openxmlformats.org/officeDocument/2006/relationships/hyperlink" Target="https://www.thelancet.com/lancet-people" TargetMode="External"/><Relationship Id="rId29" Type="http://schemas.openxmlformats.org/officeDocument/2006/relationships/hyperlink" Target="https://www.tandfonline.com/journals/pers20" TargetMode="External"/><Relationship Id="rId255" Type="http://schemas.openxmlformats.org/officeDocument/2006/relationships/hyperlink" Target="https://www.nature.com/npjamd/" TargetMode="External"/><Relationship Id="rId276" Type="http://schemas.openxmlformats.org/officeDocument/2006/relationships/hyperlink" Target="https://link.springer.com/journal/10823" TargetMode="External"/><Relationship Id="rId40" Type="http://schemas.openxmlformats.org/officeDocument/2006/relationships/hyperlink" Target="https://iaap-journals.onlinelibrary.wiley.com/journal/14640597" TargetMode="External"/><Relationship Id="rId115" Type="http://schemas.openxmlformats.org/officeDocument/2006/relationships/hyperlink" Target="https://www.apa.org/pubs/journals/abn/index" TargetMode="External"/><Relationship Id="rId136" Type="http://schemas.openxmlformats.org/officeDocument/2006/relationships/hyperlink" Target="https://www.apa.org/pubs/journals/xap" TargetMode="External"/><Relationship Id="rId157" Type="http://schemas.openxmlformats.org/officeDocument/2006/relationships/hyperlink" Target="https://link.springer.com/journal/13415" TargetMode="External"/><Relationship Id="rId178" Type="http://schemas.openxmlformats.org/officeDocument/2006/relationships/hyperlink" Target="https://www.apa.org/pubs/journals/xlm" TargetMode="External"/><Relationship Id="rId61" Type="http://schemas.openxmlformats.org/officeDocument/2006/relationships/hyperlink" Target="https://link.springer.com/journal/415" TargetMode="External"/><Relationship Id="rId82" Type="http://schemas.openxmlformats.org/officeDocument/2006/relationships/hyperlink" Target="https://www.wjgnet.com/2220-3206" TargetMode="External"/><Relationship Id="rId199" Type="http://schemas.openxmlformats.org/officeDocument/2006/relationships/hyperlink" Target="https://www.emeraldgrouppublishing.com/journal/jpmh" TargetMode="External"/><Relationship Id="rId203" Type="http://schemas.openxmlformats.org/officeDocument/2006/relationships/hyperlink" Target="https://www.tandfonline.com/journals/pcnp20/about-this-journal" TargetMode="External"/><Relationship Id="rId19" Type="http://schemas.openxmlformats.org/officeDocument/2006/relationships/hyperlink" Target="https://jamanetwork.com/journals/jamapsychiatry" TargetMode="External"/><Relationship Id="rId224" Type="http://schemas.openxmlformats.org/officeDocument/2006/relationships/hyperlink" Target="https://www.cambridge.org/core/journals/international-psychogeriatrics/information/about-this-journal" TargetMode="External"/><Relationship Id="rId245" Type="http://schemas.openxmlformats.org/officeDocument/2006/relationships/hyperlink" Target="https://www.annexpublishers.com/journals/journal-of-alzheimers-disease-and-research/jhome.php" TargetMode="External"/><Relationship Id="rId266" Type="http://schemas.openxmlformats.org/officeDocument/2006/relationships/hyperlink" Target="https://www.tandfonline.com/journals/wcli20" TargetMode="External"/><Relationship Id="rId287" Type="http://schemas.openxmlformats.org/officeDocument/2006/relationships/printerSettings" Target="../printerSettings/printerSettings2.bin"/><Relationship Id="rId30" Type="http://schemas.openxmlformats.org/officeDocument/2006/relationships/hyperlink" Target="https://www.sciencedirect.com/journal/biological-psychiatry" TargetMode="External"/><Relationship Id="rId105" Type="http://schemas.openxmlformats.org/officeDocument/2006/relationships/hyperlink" Target="https://link.springer.com/journal/737" TargetMode="External"/><Relationship Id="rId126" Type="http://schemas.openxmlformats.org/officeDocument/2006/relationships/hyperlink" Target="https://www.apa.org/pubs/journals/cap" TargetMode="External"/><Relationship Id="rId147" Type="http://schemas.openxmlformats.org/officeDocument/2006/relationships/hyperlink" Target="https://www.tandfonline.com/journals/pcgn20" TargetMode="External"/><Relationship Id="rId168" Type="http://schemas.openxmlformats.org/officeDocument/2006/relationships/hyperlink" Target="https://www.sciencedirect.com/journal/mental-health-and-physical-activity" TargetMode="External"/><Relationship Id="rId51" Type="http://schemas.openxmlformats.org/officeDocument/2006/relationships/hyperlink" Target="https://www.nature.com/npjschz/" TargetMode="External"/><Relationship Id="rId72" Type="http://schemas.openxmlformats.org/officeDocument/2006/relationships/hyperlink" Target="https://www.jneurosci.org/" TargetMode="External"/><Relationship Id="rId93" Type="http://schemas.openxmlformats.org/officeDocument/2006/relationships/hyperlink" Target="https://www.thieme.de/de/pharmacopsychiatry/journal-information-26553.htm" TargetMode="External"/><Relationship Id="rId189" Type="http://schemas.openxmlformats.org/officeDocument/2006/relationships/hyperlink" Target="https://healthpsychologyresearch.openmedicalpublishing.org/" TargetMode="External"/><Relationship Id="rId3" Type="http://schemas.openxmlformats.org/officeDocument/2006/relationships/hyperlink" Target="https://www.nature.com/nature/about/editors" TargetMode="External"/><Relationship Id="rId214" Type="http://schemas.openxmlformats.org/officeDocument/2006/relationships/hyperlink" Target="https://alz-journals.onlinelibrary.wiley.com/journal/23528729" TargetMode="External"/><Relationship Id="rId235" Type="http://schemas.openxmlformats.org/officeDocument/2006/relationships/hyperlink" Target="https://journals.lww.com/topicsingeriatricrehabilitation/pages/default.aspx" TargetMode="External"/><Relationship Id="rId256" Type="http://schemas.openxmlformats.org/officeDocument/2006/relationships/hyperlink" Target="https://aging.jmir.org/" TargetMode="External"/><Relationship Id="rId277" Type="http://schemas.openxmlformats.org/officeDocument/2006/relationships/hyperlink" Target="https://journals.sagepub.com/home/ahd" TargetMode="External"/><Relationship Id="rId116" Type="http://schemas.openxmlformats.org/officeDocument/2006/relationships/hyperlink" Target="https://www.apa.org/pubs/journals/hea" TargetMode="External"/><Relationship Id="rId137" Type="http://schemas.openxmlformats.org/officeDocument/2006/relationships/hyperlink" Target="https://bmcpsychology.biomedcentral.com/" TargetMode="External"/><Relationship Id="rId158" Type="http://schemas.openxmlformats.org/officeDocument/2006/relationships/hyperlink" Target="https://www.imrpress.com/journal/JIN" TargetMode="External"/><Relationship Id="rId20" Type="http://schemas.openxmlformats.org/officeDocument/2006/relationships/hyperlink" Target="https://www.nature.com/neuro/" TargetMode="External"/><Relationship Id="rId41" Type="http://schemas.openxmlformats.org/officeDocument/2006/relationships/hyperlink" Target="https://acamh.onlinelibrary.wiley.com/journal/14753588" TargetMode="External"/><Relationship Id="rId62" Type="http://schemas.openxmlformats.org/officeDocument/2006/relationships/hyperlink" Target="https://link.springer.com/journal/11910" TargetMode="External"/><Relationship Id="rId83" Type="http://schemas.openxmlformats.org/officeDocument/2006/relationships/hyperlink" Target="https://www.cambridge.org/core/journals/global-mental-health/information/about-this-journal" TargetMode="External"/><Relationship Id="rId179" Type="http://schemas.openxmlformats.org/officeDocument/2006/relationships/hyperlink" Target="https://www.neurology.org/journal/cpj" TargetMode="External"/><Relationship Id="rId190" Type="http://schemas.openxmlformats.org/officeDocument/2006/relationships/hyperlink" Target="https://bpspsychub.onlinelibrary.wiley.com/journal/17486653" TargetMode="External"/><Relationship Id="rId204" Type="http://schemas.openxmlformats.org/officeDocument/2006/relationships/hyperlink" Target="https://www.tandfonline.com/journals/mimh20" TargetMode="External"/><Relationship Id="rId225" Type="http://schemas.openxmlformats.org/officeDocument/2006/relationships/hyperlink" Target="https://www.tandfonline.com/journals/ipog20" TargetMode="External"/><Relationship Id="rId246" Type="http://schemas.openxmlformats.org/officeDocument/2006/relationships/hyperlink" Target="https://scholars.direct/journal.php?jid=alzheimers-disease-and-dementia" TargetMode="External"/><Relationship Id="rId267" Type="http://schemas.openxmlformats.org/officeDocument/2006/relationships/hyperlink" Target="https://www.cambridge.org/core/journals/ageing-and-society" TargetMode="External"/><Relationship Id="rId106" Type="http://schemas.openxmlformats.org/officeDocument/2006/relationships/hyperlink" Target="https://onlinelibrary.wiley.com/journal/10990879" TargetMode="External"/><Relationship Id="rId127" Type="http://schemas.openxmlformats.org/officeDocument/2006/relationships/hyperlink" Target="https://journals.sagepub.com/home/exn" TargetMode="External"/><Relationship Id="rId10" Type="http://schemas.openxmlformats.org/officeDocument/2006/relationships/hyperlink" Target="https://journals.plos.org/plosmedicine/s/editorial-board" TargetMode="External"/><Relationship Id="rId31" Type="http://schemas.openxmlformats.org/officeDocument/2006/relationships/hyperlink" Target="https://www.apa.org/pubs/journals/apl" TargetMode="External"/><Relationship Id="rId52" Type="http://schemas.openxmlformats.org/officeDocument/2006/relationships/hyperlink" Target="https://www.sciencedirect.com/journal/biological-psychiatry-cognitive-neuroscience-and-neuroimaging" TargetMode="External"/><Relationship Id="rId73" Type="http://schemas.openxmlformats.org/officeDocument/2006/relationships/hyperlink" Target="https://www.sciencedirect.com/journal/comprehensive-psychiatry" TargetMode="External"/><Relationship Id="rId94" Type="http://schemas.openxmlformats.org/officeDocument/2006/relationships/hyperlink" Target="https://journals.sagepub.com/home/RGP" TargetMode="External"/><Relationship Id="rId148" Type="http://schemas.openxmlformats.org/officeDocument/2006/relationships/hyperlink" Target="https://www.apa.org/pubs/journals/neu" TargetMode="External"/><Relationship Id="rId169" Type="http://schemas.openxmlformats.org/officeDocument/2006/relationships/hyperlink" Target="https://psychiatryonline.org/journal/apt" TargetMode="External"/><Relationship Id="rId4" Type="http://schemas.openxmlformats.org/officeDocument/2006/relationships/hyperlink" Target="https://www.science.org/journal/science" TargetMode="External"/><Relationship Id="rId180" Type="http://schemas.openxmlformats.org/officeDocument/2006/relationships/hyperlink" Target="https://bmcneurol.biomedcentral.com/" TargetMode="External"/><Relationship Id="rId215" Type="http://schemas.openxmlformats.org/officeDocument/2006/relationships/hyperlink" Target="https://www.iospress.com/catalog/journals/journal-of-alzheimers-disease-reports" TargetMode="External"/><Relationship Id="rId236" Type="http://schemas.openxmlformats.org/officeDocument/2006/relationships/hyperlink" Target="https://karger.com/dee" TargetMode="External"/><Relationship Id="rId257" Type="http://schemas.openxmlformats.org/officeDocument/2006/relationships/hyperlink" Target="https://academic.oup.com/psychsocgerontology" TargetMode="External"/><Relationship Id="rId278" Type="http://schemas.openxmlformats.org/officeDocument/2006/relationships/hyperlink" Target="https://www.tandfonline.com/journals/uedg20" TargetMode="External"/><Relationship Id="rId42" Type="http://schemas.openxmlformats.org/officeDocument/2006/relationships/hyperlink" Target="https://mentalhealth.bmj.com/" TargetMode="External"/><Relationship Id="rId84" Type="http://schemas.openxmlformats.org/officeDocument/2006/relationships/hyperlink" Target="https://link.springer.com/journal/40120" TargetMode="External"/><Relationship Id="rId138" Type="http://schemas.openxmlformats.org/officeDocument/2006/relationships/hyperlink" Target="https://www.frontiersin.org/journals/neurology" TargetMode="External"/><Relationship Id="rId191" Type="http://schemas.openxmlformats.org/officeDocument/2006/relationships/hyperlink" Target="https://www.sciencedirect.com/journal/ibro-neuroscience-reports" TargetMode="External"/><Relationship Id="rId205" Type="http://schemas.openxmlformats.org/officeDocument/2006/relationships/hyperlink" Target="https://www.tandfonline.com/journals/ramh20" TargetMode="External"/><Relationship Id="rId247" Type="http://schemas.openxmlformats.org/officeDocument/2006/relationships/hyperlink" Target="https://www.opastpublishers.com/journal/international-journal-of-alzheimers-disease-research" TargetMode="External"/><Relationship Id="rId107" Type="http://schemas.openxmlformats.org/officeDocument/2006/relationships/hyperlink" Target="https://bpspsychub.onlinelibrary.wiley.com/journal/20448295" TargetMode="External"/><Relationship Id="rId11" Type="http://schemas.openxmlformats.org/officeDocument/2006/relationships/hyperlink" Target="https://www.embopress.org/page/journal/14602075/editors" TargetMode="External"/><Relationship Id="rId53" Type="http://schemas.openxmlformats.org/officeDocument/2006/relationships/hyperlink" Target="https://link.springer.com/journal/11920" TargetMode="External"/><Relationship Id="rId149" Type="http://schemas.openxmlformats.org/officeDocument/2006/relationships/hyperlink" Target="https://www.frontiersin.org/journals/behavioral-neuroscience" TargetMode="External"/><Relationship Id="rId95" Type="http://schemas.openxmlformats.org/officeDocument/2006/relationships/hyperlink" Target="https://bpspsychub.onlinelibrary.wiley.com/journal/20448287" TargetMode="External"/><Relationship Id="rId160" Type="http://schemas.openxmlformats.org/officeDocument/2006/relationships/hyperlink" Target="https://www.tandfonline.com/journals/rhpb20" TargetMode="External"/><Relationship Id="rId216" Type="http://schemas.openxmlformats.org/officeDocument/2006/relationships/hyperlink" Target="https://alz-journals.onlinelibrary.wiley.com/journal/15525279" TargetMode="External"/><Relationship Id="rId258" Type="http://schemas.openxmlformats.org/officeDocument/2006/relationships/hyperlink" Target="https://academic.oup.com/gerontologist" TargetMode="External"/><Relationship Id="rId22" Type="http://schemas.openxmlformats.org/officeDocument/2006/relationships/hyperlink" Target="https://www.annualreviews.org/content/journals/clinpsy" TargetMode="External"/><Relationship Id="rId64" Type="http://schemas.openxmlformats.org/officeDocument/2006/relationships/hyperlink" Target="https://www.apa.org/pubs/journals/cps" TargetMode="External"/><Relationship Id="rId118" Type="http://schemas.openxmlformats.org/officeDocument/2006/relationships/hyperlink" Target="https://academic.oup.com/nc" TargetMode="External"/></Relationships>
</file>

<file path=xl/worksheets/_rels/sheet3.xml.rels><?xml version="1.0" encoding="UTF-8" standalone="yes"?>
<Relationships xmlns="http://schemas.openxmlformats.org/package/2006/relationships"><Relationship Id="rId1522" Type="http://schemas.openxmlformats.org/officeDocument/2006/relationships/hyperlink" Target="https://pubmed.ncbi.nlm.nih.gov/32893328" TargetMode="External"/><Relationship Id="rId1827" Type="http://schemas.openxmlformats.org/officeDocument/2006/relationships/hyperlink" Target="https://www.clinicaltrialsregister.eu/ctr-search/trial/2020-006062-36/IT" TargetMode="External"/><Relationship Id="rId21" Type="http://schemas.openxmlformats.org/officeDocument/2006/relationships/hyperlink" Target="https://drks.de/search/en/trial/DRKS00028895" TargetMode="External"/><Relationship Id="rId170" Type="http://schemas.openxmlformats.org/officeDocument/2006/relationships/hyperlink" Target="https://clinicaltrials.gov/study/NCT04478838" TargetMode="External"/><Relationship Id="rId268" Type="http://schemas.openxmlformats.org/officeDocument/2006/relationships/hyperlink" Target="https://clinicaltrials.gov/study/NCT05182476" TargetMode="External"/><Relationship Id="rId475" Type="http://schemas.openxmlformats.org/officeDocument/2006/relationships/hyperlink" Target="https://pubmed.ncbi.nlm.nih.gov/30829190" TargetMode="External"/><Relationship Id="rId682" Type="http://schemas.openxmlformats.org/officeDocument/2006/relationships/hyperlink" Target="https://pubmed.ncbi.nlm.nih.gov/34258833" TargetMode="External"/><Relationship Id="rId128" Type="http://schemas.openxmlformats.org/officeDocument/2006/relationships/hyperlink" Target="https://clinicaltrials.gov/study/NCT04173598" TargetMode="External"/><Relationship Id="rId335" Type="http://schemas.openxmlformats.org/officeDocument/2006/relationships/hyperlink" Target="https://clinicaltrials.gov/study/NCT05537428" TargetMode="External"/><Relationship Id="rId542" Type="http://schemas.openxmlformats.org/officeDocument/2006/relationships/hyperlink" Target="https://pubmed.ncbi.nlm.nih.gov/31881954" TargetMode="External"/><Relationship Id="rId987" Type="http://schemas.openxmlformats.org/officeDocument/2006/relationships/hyperlink" Target="https://clinicaltrials.gov/study/NCT00916201" TargetMode="External"/><Relationship Id="rId1172" Type="http://schemas.openxmlformats.org/officeDocument/2006/relationships/hyperlink" Target="https://clinicaltrials.gov/study/NCT05124470" TargetMode="External"/><Relationship Id="rId402" Type="http://schemas.openxmlformats.org/officeDocument/2006/relationships/hyperlink" Target="https://clinicaltrials.gov/study/NCT06003036" TargetMode="External"/><Relationship Id="rId847" Type="http://schemas.openxmlformats.org/officeDocument/2006/relationships/hyperlink" Target="https://pubmed.ncbi.nlm.nih.gov/37962384" TargetMode="External"/><Relationship Id="rId1032" Type="http://schemas.openxmlformats.org/officeDocument/2006/relationships/hyperlink" Target="https://clinicaltrials.gov/study/NCT04123223" TargetMode="External"/><Relationship Id="rId1477" Type="http://schemas.openxmlformats.org/officeDocument/2006/relationships/hyperlink" Target="https://pubmed.ncbi.nlm.nih.gov/32180369" TargetMode="External"/><Relationship Id="rId1684" Type="http://schemas.openxmlformats.org/officeDocument/2006/relationships/hyperlink" Target="https://pubmed.ncbi.nlm.nih.gov/35939921" TargetMode="External"/><Relationship Id="rId1891" Type="http://schemas.openxmlformats.org/officeDocument/2006/relationships/hyperlink" Target="https://clinicaltrials.gov/study/NCT04001439" TargetMode="External"/><Relationship Id="rId707" Type="http://schemas.openxmlformats.org/officeDocument/2006/relationships/hyperlink" Target="https://pubmed.ncbi.nlm.nih.gov/34667261" TargetMode="External"/><Relationship Id="rId914" Type="http://schemas.openxmlformats.org/officeDocument/2006/relationships/hyperlink" Target="https://www.clinicaltrialsregister.eu/ctr-search/trial/2019-003343-29/ES" TargetMode="External"/><Relationship Id="rId1337" Type="http://schemas.openxmlformats.org/officeDocument/2006/relationships/hyperlink" Target="https://clinicaltrials.gov/study/NCT06159673" TargetMode="External"/><Relationship Id="rId1544" Type="http://schemas.openxmlformats.org/officeDocument/2006/relationships/hyperlink" Target="https://pubmed.ncbi.nlm.nih.gov/33222210" TargetMode="External"/><Relationship Id="rId1751" Type="http://schemas.openxmlformats.org/officeDocument/2006/relationships/hyperlink" Target="https://pubmed.ncbi.nlm.nih.gov/37653768" TargetMode="External"/><Relationship Id="rId43" Type="http://schemas.openxmlformats.org/officeDocument/2006/relationships/hyperlink" Target="https://jrct.niph.go.jp/en-latest-detail/jRCT1030240216" TargetMode="External"/><Relationship Id="rId1404" Type="http://schemas.openxmlformats.org/officeDocument/2006/relationships/hyperlink" Target="https://pubmed.ncbi.nlm.nih.gov/31353759" TargetMode="External"/><Relationship Id="rId1611" Type="http://schemas.openxmlformats.org/officeDocument/2006/relationships/hyperlink" Target="https://pubmed.ncbi.nlm.nih.gov/34500174" TargetMode="External"/><Relationship Id="rId1849" Type="http://schemas.openxmlformats.org/officeDocument/2006/relationships/hyperlink" Target="https://clinicaltrials.gov/study/NCT05839613" TargetMode="External"/><Relationship Id="rId192" Type="http://schemas.openxmlformats.org/officeDocument/2006/relationships/hyperlink" Target="https://clinicaltrials.gov/study/NCT04631939" TargetMode="External"/><Relationship Id="rId1709" Type="http://schemas.openxmlformats.org/officeDocument/2006/relationships/hyperlink" Target="https://pubmed.ncbi.nlm.nih.gov/36558548" TargetMode="External"/><Relationship Id="rId1916" Type="http://schemas.openxmlformats.org/officeDocument/2006/relationships/hyperlink" Target="https://clinicaltrials.gov/study/NCT06562608" TargetMode="External"/><Relationship Id="rId497" Type="http://schemas.openxmlformats.org/officeDocument/2006/relationships/hyperlink" Target="https://pubmed.ncbi.nlm.nih.gov/31446217" TargetMode="External"/><Relationship Id="rId357" Type="http://schemas.openxmlformats.org/officeDocument/2006/relationships/hyperlink" Target="https://clinicaltrials.gov/study/NCT05686239" TargetMode="External"/><Relationship Id="rId1194" Type="http://schemas.openxmlformats.org/officeDocument/2006/relationships/hyperlink" Target="https://clinicaltrials.gov/study/NCT05245539" TargetMode="External"/><Relationship Id="rId217" Type="http://schemas.openxmlformats.org/officeDocument/2006/relationships/hyperlink" Target="https://clinicaltrials.gov/study/NCT04846868" TargetMode="External"/><Relationship Id="rId564" Type="http://schemas.openxmlformats.org/officeDocument/2006/relationships/hyperlink" Target="https://pubmed.ncbi.nlm.nih.gov/32237292" TargetMode="External"/><Relationship Id="rId771" Type="http://schemas.openxmlformats.org/officeDocument/2006/relationships/hyperlink" Target="https://pubmed.ncbi.nlm.nih.gov/35971137" TargetMode="External"/><Relationship Id="rId869" Type="http://schemas.openxmlformats.org/officeDocument/2006/relationships/hyperlink" Target="https://pubmed.ncbi.nlm.nih.gov/38533552" TargetMode="External"/><Relationship Id="rId1499" Type="http://schemas.openxmlformats.org/officeDocument/2006/relationships/hyperlink" Target="https://pubmed.ncbi.nlm.nih.gov/32513424" TargetMode="External"/><Relationship Id="rId424" Type="http://schemas.openxmlformats.org/officeDocument/2006/relationships/hyperlink" Target="https://clinicaltrials.gov/study/NCT06179108" TargetMode="External"/><Relationship Id="rId631" Type="http://schemas.openxmlformats.org/officeDocument/2006/relationships/hyperlink" Target="https://pubmed.ncbi.nlm.nih.gov/33230190" TargetMode="External"/><Relationship Id="rId729" Type="http://schemas.openxmlformats.org/officeDocument/2006/relationships/hyperlink" Target="https://pubmed.ncbi.nlm.nih.gov/35133884" TargetMode="External"/><Relationship Id="rId1054" Type="http://schemas.openxmlformats.org/officeDocument/2006/relationships/hyperlink" Target="https://clinicaltrials.gov/study/NCT04267003" TargetMode="External"/><Relationship Id="rId1261" Type="http://schemas.openxmlformats.org/officeDocument/2006/relationships/hyperlink" Target="https://clinicaltrials.gov/study/NCT05643170" TargetMode="External"/><Relationship Id="rId1359" Type="http://schemas.openxmlformats.org/officeDocument/2006/relationships/hyperlink" Target="https://clinicaltrials.gov/study/NCT06361160" TargetMode="External"/><Relationship Id="rId936" Type="http://schemas.openxmlformats.org/officeDocument/2006/relationships/hyperlink" Target="https://drks.de/search/en/trial/DRKS00028895" TargetMode="External"/><Relationship Id="rId1121" Type="http://schemas.openxmlformats.org/officeDocument/2006/relationships/hyperlink" Target="https://clinicaltrials.gov/study/NCT04768335" TargetMode="External"/><Relationship Id="rId1219" Type="http://schemas.openxmlformats.org/officeDocument/2006/relationships/hyperlink" Target="https://clinicaltrials.gov/study/NCT05345184" TargetMode="External"/><Relationship Id="rId1566" Type="http://schemas.openxmlformats.org/officeDocument/2006/relationships/hyperlink" Target="https://pubmed.ncbi.nlm.nih.gov/33626254" TargetMode="External"/><Relationship Id="rId1773" Type="http://schemas.openxmlformats.org/officeDocument/2006/relationships/hyperlink" Target="https://pubmed.ncbi.nlm.nih.gov/38301186" TargetMode="External"/><Relationship Id="rId65" Type="http://schemas.openxmlformats.org/officeDocument/2006/relationships/hyperlink" Target="https://jrct.niph.go.jp/en-latest-detail/jRCTs032190244" TargetMode="External"/><Relationship Id="rId1426" Type="http://schemas.openxmlformats.org/officeDocument/2006/relationships/hyperlink" Target="https://pubmed.ncbi.nlm.nih.gov/31634752" TargetMode="External"/><Relationship Id="rId1633" Type="http://schemas.openxmlformats.org/officeDocument/2006/relationships/hyperlink" Target="https://pubmed.ncbi.nlm.nih.gov/34886117" TargetMode="External"/><Relationship Id="rId1840" Type="http://schemas.openxmlformats.org/officeDocument/2006/relationships/hyperlink" Target="https://clinicaltrials.gov/study/NCT04332601" TargetMode="External"/><Relationship Id="rId1700" Type="http://schemas.openxmlformats.org/officeDocument/2006/relationships/hyperlink" Target="https://pubmed.ncbi.nlm.nih.gov/36370124" TargetMode="External"/><Relationship Id="rId1938" Type="http://schemas.openxmlformats.org/officeDocument/2006/relationships/hyperlink" Target="https://pubmed.ncbi.nlm.nih.gov/37732619" TargetMode="External"/><Relationship Id="rId281" Type="http://schemas.openxmlformats.org/officeDocument/2006/relationships/hyperlink" Target="https://clinicaltrials.gov/study/NCT05252039" TargetMode="External"/><Relationship Id="rId141" Type="http://schemas.openxmlformats.org/officeDocument/2006/relationships/hyperlink" Target="https://clinicaltrials.gov/study/NCT04277936" TargetMode="External"/><Relationship Id="rId379" Type="http://schemas.openxmlformats.org/officeDocument/2006/relationships/hyperlink" Target="https://clinicaltrials.gov/study/NCT05838625" TargetMode="External"/><Relationship Id="rId586" Type="http://schemas.openxmlformats.org/officeDocument/2006/relationships/hyperlink" Target="https://pubmed.ncbi.nlm.nih.gov/32539907" TargetMode="External"/><Relationship Id="rId793" Type="http://schemas.openxmlformats.org/officeDocument/2006/relationships/hyperlink" Target="https://pubmed.ncbi.nlm.nih.gov/36541795" TargetMode="External"/><Relationship Id="rId7" Type="http://schemas.openxmlformats.org/officeDocument/2006/relationships/hyperlink" Target="https://drks.de/search/en/trial/DRKS00022190" TargetMode="External"/><Relationship Id="rId239" Type="http://schemas.openxmlformats.org/officeDocument/2006/relationships/hyperlink" Target="https://clinicaltrials.gov/study/NCT04987151" TargetMode="External"/><Relationship Id="rId446" Type="http://schemas.openxmlformats.org/officeDocument/2006/relationships/hyperlink" Target="https://clinicaltrials.gov/study/NCT06374290" TargetMode="External"/><Relationship Id="rId653" Type="http://schemas.openxmlformats.org/officeDocument/2006/relationships/hyperlink" Target="https://pubmed.ncbi.nlm.nih.gov/33711681" TargetMode="External"/><Relationship Id="rId1076" Type="http://schemas.openxmlformats.org/officeDocument/2006/relationships/hyperlink" Target="https://clinicaltrials.gov/study/NCT04414215" TargetMode="External"/><Relationship Id="rId1283" Type="http://schemas.openxmlformats.org/officeDocument/2006/relationships/hyperlink" Target="https://clinicaltrials.gov/study/NCT05742893" TargetMode="External"/><Relationship Id="rId1490" Type="http://schemas.openxmlformats.org/officeDocument/2006/relationships/hyperlink" Target="https://pubmed.ncbi.nlm.nih.gov/32354661" TargetMode="External"/><Relationship Id="rId306" Type="http://schemas.openxmlformats.org/officeDocument/2006/relationships/hyperlink" Target="https://clinicaltrials.gov/study/NCT05349513" TargetMode="External"/><Relationship Id="rId860" Type="http://schemas.openxmlformats.org/officeDocument/2006/relationships/hyperlink" Target="https://pubmed.ncbi.nlm.nih.gov/38355533" TargetMode="External"/><Relationship Id="rId958" Type="http://schemas.openxmlformats.org/officeDocument/2006/relationships/hyperlink" Target="https://jrct.niph.go.jp/en-latest-detail/jRCT1030240216" TargetMode="External"/><Relationship Id="rId1143" Type="http://schemas.openxmlformats.org/officeDocument/2006/relationships/hyperlink" Target="https://clinicaltrials.gov/study/NCT04907279" TargetMode="External"/><Relationship Id="rId1588" Type="http://schemas.openxmlformats.org/officeDocument/2006/relationships/hyperlink" Target="https://pubmed.ncbi.nlm.nih.gov/33988924" TargetMode="External"/><Relationship Id="rId1795" Type="http://schemas.openxmlformats.org/officeDocument/2006/relationships/hyperlink" Target="https://pubmed.ncbi.nlm.nih.gov/38806461" TargetMode="External"/><Relationship Id="rId87" Type="http://schemas.openxmlformats.org/officeDocument/2006/relationships/hyperlink" Target="https://clinicaltrials.gov/study/NCT03972735" TargetMode="External"/><Relationship Id="rId513" Type="http://schemas.openxmlformats.org/officeDocument/2006/relationships/hyperlink" Target="https://pubmed.ncbi.nlm.nih.gov/31642084" TargetMode="External"/><Relationship Id="rId720" Type="http://schemas.openxmlformats.org/officeDocument/2006/relationships/hyperlink" Target="https://pubmed.ncbi.nlm.nih.gov/34930729" TargetMode="External"/><Relationship Id="rId818" Type="http://schemas.openxmlformats.org/officeDocument/2006/relationships/hyperlink" Target="https://pubmed.ncbi.nlm.nih.gov/37012184" TargetMode="External"/><Relationship Id="rId1350" Type="http://schemas.openxmlformats.org/officeDocument/2006/relationships/hyperlink" Target="https://clinicaltrials.gov/study/NCT06270108" TargetMode="External"/><Relationship Id="rId1448" Type="http://schemas.openxmlformats.org/officeDocument/2006/relationships/hyperlink" Target="https://pubmed.ncbi.nlm.nih.gov/31786651" TargetMode="External"/><Relationship Id="rId1655" Type="http://schemas.openxmlformats.org/officeDocument/2006/relationships/hyperlink" Target="https://pubmed.ncbi.nlm.nih.gov/35277995" TargetMode="External"/><Relationship Id="rId1003" Type="http://schemas.openxmlformats.org/officeDocument/2006/relationships/hyperlink" Target="https://clinicaltrials.gov/study/NCT03975400" TargetMode="External"/><Relationship Id="rId1210" Type="http://schemas.openxmlformats.org/officeDocument/2006/relationships/hyperlink" Target="https://clinicaltrials.gov/study/NCT05322031" TargetMode="External"/><Relationship Id="rId1308" Type="http://schemas.openxmlformats.org/officeDocument/2006/relationships/hyperlink" Target="https://clinicaltrials.gov/study/NCT05956951" TargetMode="External"/><Relationship Id="rId1862" Type="http://schemas.openxmlformats.org/officeDocument/2006/relationships/hyperlink" Target="https://pubmed.ncbi.nlm.nih.gov/35137699" TargetMode="External"/><Relationship Id="rId1515" Type="http://schemas.openxmlformats.org/officeDocument/2006/relationships/hyperlink" Target="https://pubmed.ncbi.nlm.nih.gov/32790451" TargetMode="External"/><Relationship Id="rId1722" Type="http://schemas.openxmlformats.org/officeDocument/2006/relationships/hyperlink" Target="https://pubmed.ncbi.nlm.nih.gov/36891649" TargetMode="External"/><Relationship Id="rId14" Type="http://schemas.openxmlformats.org/officeDocument/2006/relationships/hyperlink" Target="https://drks.de/search/en/trial/DRKS00025885" TargetMode="External"/><Relationship Id="rId163" Type="http://schemas.openxmlformats.org/officeDocument/2006/relationships/hyperlink" Target="https://clinicaltrials.gov/study/NCT04418011" TargetMode="External"/><Relationship Id="rId370" Type="http://schemas.openxmlformats.org/officeDocument/2006/relationships/hyperlink" Target="https://clinicaltrials.gov/study/NCT05746494" TargetMode="External"/><Relationship Id="rId230" Type="http://schemas.openxmlformats.org/officeDocument/2006/relationships/hyperlink" Target="https://clinicaltrials.gov/study/NCT04922593" TargetMode="External"/><Relationship Id="rId468" Type="http://schemas.openxmlformats.org/officeDocument/2006/relationships/hyperlink" Target="https://pubmed.ncbi.nlm.nih.gov/30569083" TargetMode="External"/><Relationship Id="rId675" Type="http://schemas.openxmlformats.org/officeDocument/2006/relationships/hyperlink" Target="https://pubmed.ncbi.nlm.nih.gov/34015555" TargetMode="External"/><Relationship Id="rId882" Type="http://schemas.openxmlformats.org/officeDocument/2006/relationships/hyperlink" Target="https://pubmed.ncbi.nlm.nih.gov/38954317" TargetMode="External"/><Relationship Id="rId1098" Type="http://schemas.openxmlformats.org/officeDocument/2006/relationships/hyperlink" Target="https://clinicaltrials.gov/study/NCT04578314" TargetMode="External"/><Relationship Id="rId328" Type="http://schemas.openxmlformats.org/officeDocument/2006/relationships/hyperlink" Target="https://clinicaltrials.gov/study/NCT05486312" TargetMode="External"/><Relationship Id="rId535" Type="http://schemas.openxmlformats.org/officeDocument/2006/relationships/hyperlink" Target="https://pubmed.ncbi.nlm.nih.gov/31825973" TargetMode="External"/><Relationship Id="rId742" Type="http://schemas.openxmlformats.org/officeDocument/2006/relationships/hyperlink" Target="https://pubmed.ncbi.nlm.nih.gov/35343739" TargetMode="External"/><Relationship Id="rId1165" Type="http://schemas.openxmlformats.org/officeDocument/2006/relationships/hyperlink" Target="https://clinicaltrials.gov/study/NCT05102929" TargetMode="External"/><Relationship Id="rId1372" Type="http://schemas.openxmlformats.org/officeDocument/2006/relationships/hyperlink" Target="https://clinicaltrials.gov/study/NCT06502964" TargetMode="External"/><Relationship Id="rId602" Type="http://schemas.openxmlformats.org/officeDocument/2006/relationships/hyperlink" Target="https://pubmed.ncbi.nlm.nih.gov/32796391" TargetMode="External"/><Relationship Id="rId1025" Type="http://schemas.openxmlformats.org/officeDocument/2006/relationships/hyperlink" Target="https://clinicaltrials.gov/study/NCT04072354" TargetMode="External"/><Relationship Id="rId1232" Type="http://schemas.openxmlformats.org/officeDocument/2006/relationships/hyperlink" Target="https://clinicaltrials.gov/study/NCT05438160" TargetMode="External"/><Relationship Id="rId1677" Type="http://schemas.openxmlformats.org/officeDocument/2006/relationships/hyperlink" Target="https://pubmed.ncbi.nlm.nih.gov/35759877" TargetMode="External"/><Relationship Id="rId1884" Type="http://schemas.openxmlformats.org/officeDocument/2006/relationships/hyperlink" Target="https://pubmed.ncbi.nlm.nih.gov/30470592" TargetMode="External"/><Relationship Id="rId907" Type="http://schemas.openxmlformats.org/officeDocument/2006/relationships/hyperlink" Target="https://center6.umin.ac.jp/cgi-open-bin/ctr_e/ctr_view.cgi?recptno=R000058014" TargetMode="External"/><Relationship Id="rId1537" Type="http://schemas.openxmlformats.org/officeDocument/2006/relationships/hyperlink" Target="https://pubmed.ncbi.nlm.nih.gov/33138708" TargetMode="External"/><Relationship Id="rId1744" Type="http://schemas.openxmlformats.org/officeDocument/2006/relationships/hyperlink" Target="https://pubmed.ncbi.nlm.nih.gov/37466276" TargetMode="External"/><Relationship Id="rId36" Type="http://schemas.openxmlformats.org/officeDocument/2006/relationships/hyperlink" Target="https://www.isrctn.com/ISRCTN81150786" TargetMode="External"/><Relationship Id="rId1604" Type="http://schemas.openxmlformats.org/officeDocument/2006/relationships/hyperlink" Target="https://pubmed.ncbi.nlm.nih.gov/34332374" TargetMode="External"/><Relationship Id="rId185" Type="http://schemas.openxmlformats.org/officeDocument/2006/relationships/hyperlink" Target="https://clinicaltrials.gov/study/NCT04580134" TargetMode="External"/><Relationship Id="rId1811" Type="http://schemas.openxmlformats.org/officeDocument/2006/relationships/hyperlink" Target="https://center6.umin.ac.jp/cgi-open-bin/ctr_e/ctr_view.cgi?recptno=R000049296" TargetMode="External"/><Relationship Id="rId1909" Type="http://schemas.openxmlformats.org/officeDocument/2006/relationships/hyperlink" Target="https://clinicaltrials.gov/study/NCT06184165" TargetMode="External"/><Relationship Id="rId392" Type="http://schemas.openxmlformats.org/officeDocument/2006/relationships/hyperlink" Target="https://clinicaltrials.gov/study/NCT05956327" TargetMode="External"/><Relationship Id="rId697" Type="http://schemas.openxmlformats.org/officeDocument/2006/relationships/hyperlink" Target="https://pubmed.ncbi.nlm.nih.gov/34510196" TargetMode="External"/><Relationship Id="rId252" Type="http://schemas.openxmlformats.org/officeDocument/2006/relationships/hyperlink" Target="https://clinicaltrials.gov/study/NCT05106309" TargetMode="External"/><Relationship Id="rId1187" Type="http://schemas.openxmlformats.org/officeDocument/2006/relationships/hyperlink" Target="https://clinicaltrials.gov/study/NCT05206292" TargetMode="External"/><Relationship Id="rId112" Type="http://schemas.openxmlformats.org/officeDocument/2006/relationships/hyperlink" Target="https://clinicaltrials.gov/study/NCT04106960" TargetMode="External"/><Relationship Id="rId557" Type="http://schemas.openxmlformats.org/officeDocument/2006/relationships/hyperlink" Target="https://pubmed.ncbi.nlm.nih.gov/32122230" TargetMode="External"/><Relationship Id="rId764" Type="http://schemas.openxmlformats.org/officeDocument/2006/relationships/hyperlink" Target="https://pubmed.ncbi.nlm.nih.gov/35839558" TargetMode="External"/><Relationship Id="rId971" Type="http://schemas.openxmlformats.org/officeDocument/2006/relationships/hyperlink" Target="https://jrct.niph.go.jp/en-latest-detail/jRCT2061210051" TargetMode="External"/><Relationship Id="rId1394" Type="http://schemas.openxmlformats.org/officeDocument/2006/relationships/hyperlink" Target="https://pubmed.ncbi.nlm.nih.gov/30937510" TargetMode="External"/><Relationship Id="rId1699" Type="http://schemas.openxmlformats.org/officeDocument/2006/relationships/hyperlink" Target="https://pubmed.ncbi.nlm.nih.gov/36347107" TargetMode="External"/><Relationship Id="rId417" Type="http://schemas.openxmlformats.org/officeDocument/2006/relationships/hyperlink" Target="https://clinicaltrials.gov/study/NCT06136936" TargetMode="External"/><Relationship Id="rId624" Type="http://schemas.openxmlformats.org/officeDocument/2006/relationships/hyperlink" Target="https://pubmed.ncbi.nlm.nih.gov/33161162" TargetMode="External"/><Relationship Id="rId831" Type="http://schemas.openxmlformats.org/officeDocument/2006/relationships/hyperlink" Target="https://pubmed.ncbi.nlm.nih.gov/37506738" TargetMode="External"/><Relationship Id="rId1047" Type="http://schemas.openxmlformats.org/officeDocument/2006/relationships/hyperlink" Target="https://clinicaltrials.gov/study/NCT04191876" TargetMode="External"/><Relationship Id="rId1254" Type="http://schemas.openxmlformats.org/officeDocument/2006/relationships/hyperlink" Target="https://clinicaltrials.gov/study/NCT05550155" TargetMode="External"/><Relationship Id="rId1461" Type="http://schemas.openxmlformats.org/officeDocument/2006/relationships/hyperlink" Target="https://pubmed.ncbi.nlm.nih.gov/31954541" TargetMode="External"/><Relationship Id="rId929" Type="http://schemas.openxmlformats.org/officeDocument/2006/relationships/hyperlink" Target="https://drks.de/search/en/trial/DRKS00025885" TargetMode="External"/><Relationship Id="rId1114" Type="http://schemas.openxmlformats.org/officeDocument/2006/relationships/hyperlink" Target="https://clinicaltrials.gov/study/NCT04709224" TargetMode="External"/><Relationship Id="rId1321" Type="http://schemas.openxmlformats.org/officeDocument/2006/relationships/hyperlink" Target="https://clinicaltrials.gov/study/NCT06043206" TargetMode="External"/><Relationship Id="rId1559" Type="http://schemas.openxmlformats.org/officeDocument/2006/relationships/hyperlink" Target="https://pubmed.ncbi.nlm.nih.gov/33484269" TargetMode="External"/><Relationship Id="rId1766" Type="http://schemas.openxmlformats.org/officeDocument/2006/relationships/hyperlink" Target="https://pubmed.ncbi.nlm.nih.gov/38157711" TargetMode="External"/><Relationship Id="rId58" Type="http://schemas.openxmlformats.org/officeDocument/2006/relationships/hyperlink" Target="https://jrct.niph.go.jp/en-latest-detail/jRCT2071210003" TargetMode="External"/><Relationship Id="rId1419" Type="http://schemas.openxmlformats.org/officeDocument/2006/relationships/hyperlink" Target="https://pubmed.ncbi.nlm.nih.gov/31494376" TargetMode="External"/><Relationship Id="rId1626" Type="http://schemas.openxmlformats.org/officeDocument/2006/relationships/hyperlink" Target="https://pubmed.ncbi.nlm.nih.gov/34766787" TargetMode="External"/><Relationship Id="rId1833" Type="http://schemas.openxmlformats.org/officeDocument/2006/relationships/hyperlink" Target="https://pubmed.ncbi.nlm.nih.gov/34902651" TargetMode="External"/><Relationship Id="rId1900" Type="http://schemas.openxmlformats.org/officeDocument/2006/relationships/hyperlink" Target="https://clinicaltrials.gov/study/NCT05731414" TargetMode="External"/><Relationship Id="rId274" Type="http://schemas.openxmlformats.org/officeDocument/2006/relationships/hyperlink" Target="https://clinicaltrials.gov/study/NCT05208190" TargetMode="External"/><Relationship Id="rId481" Type="http://schemas.openxmlformats.org/officeDocument/2006/relationships/hyperlink" Target="https://pubmed.ncbi.nlm.nih.gov/30994855" TargetMode="External"/><Relationship Id="rId134" Type="http://schemas.openxmlformats.org/officeDocument/2006/relationships/hyperlink" Target="https://clinicaltrials.gov/study/NCT04210557" TargetMode="External"/><Relationship Id="rId579" Type="http://schemas.openxmlformats.org/officeDocument/2006/relationships/hyperlink" Target="https://pubmed.ncbi.nlm.nih.gov/32433835" TargetMode="External"/><Relationship Id="rId786" Type="http://schemas.openxmlformats.org/officeDocument/2006/relationships/hyperlink" Target="https://pubmed.ncbi.nlm.nih.gov/36401749" TargetMode="External"/><Relationship Id="rId993" Type="http://schemas.openxmlformats.org/officeDocument/2006/relationships/hyperlink" Target="https://clinicaltrials.gov/study/NCT03818256" TargetMode="External"/><Relationship Id="rId341" Type="http://schemas.openxmlformats.org/officeDocument/2006/relationships/hyperlink" Target="https://clinicaltrials.gov/study/NCT05571228" TargetMode="External"/><Relationship Id="rId439" Type="http://schemas.openxmlformats.org/officeDocument/2006/relationships/hyperlink" Target="https://clinicaltrials.gov/study/NCT06315283" TargetMode="External"/><Relationship Id="rId646" Type="http://schemas.openxmlformats.org/officeDocument/2006/relationships/hyperlink" Target="https://pubmed.ncbi.nlm.nih.gov/33587397" TargetMode="External"/><Relationship Id="rId1069" Type="http://schemas.openxmlformats.org/officeDocument/2006/relationships/hyperlink" Target="https://clinicaltrials.gov/study/NCT04325737" TargetMode="External"/><Relationship Id="rId1276" Type="http://schemas.openxmlformats.org/officeDocument/2006/relationships/hyperlink" Target="https://clinicaltrials.gov/study/NCT05703698" TargetMode="External"/><Relationship Id="rId1483" Type="http://schemas.openxmlformats.org/officeDocument/2006/relationships/hyperlink" Target="https://pubmed.ncbi.nlm.nih.gov/32294346" TargetMode="External"/><Relationship Id="rId201" Type="http://schemas.openxmlformats.org/officeDocument/2006/relationships/hyperlink" Target="https://clinicaltrials.gov/study/NCT04730518" TargetMode="External"/><Relationship Id="rId506" Type="http://schemas.openxmlformats.org/officeDocument/2006/relationships/hyperlink" Target="https://pubmed.ncbi.nlm.nih.gov/31565796" TargetMode="External"/><Relationship Id="rId853" Type="http://schemas.openxmlformats.org/officeDocument/2006/relationships/hyperlink" Target="https://pubmed.ncbi.nlm.nih.gov/38199388" TargetMode="External"/><Relationship Id="rId1136" Type="http://schemas.openxmlformats.org/officeDocument/2006/relationships/hyperlink" Target="https://clinicaltrials.gov/study/NCT04860830" TargetMode="External"/><Relationship Id="rId1690" Type="http://schemas.openxmlformats.org/officeDocument/2006/relationships/hyperlink" Target="https://pubmed.ncbi.nlm.nih.gov/36047035" TargetMode="External"/><Relationship Id="rId1788" Type="http://schemas.openxmlformats.org/officeDocument/2006/relationships/hyperlink" Target="https://pubmed.ncbi.nlm.nih.gov/38644296" TargetMode="External"/><Relationship Id="rId713" Type="http://schemas.openxmlformats.org/officeDocument/2006/relationships/hyperlink" Target="https://pubmed.ncbi.nlm.nih.gov/34791283" TargetMode="External"/><Relationship Id="rId920" Type="http://schemas.openxmlformats.org/officeDocument/2006/relationships/hyperlink" Target="https://drks.de/search/en/trial/DRKS00019825" TargetMode="External"/><Relationship Id="rId1343" Type="http://schemas.openxmlformats.org/officeDocument/2006/relationships/hyperlink" Target="https://clinicaltrials.gov/study/NCT06225115" TargetMode="External"/><Relationship Id="rId1550" Type="http://schemas.openxmlformats.org/officeDocument/2006/relationships/hyperlink" Target="https://pubmed.ncbi.nlm.nih.gov/33290939" TargetMode="External"/><Relationship Id="rId1648" Type="http://schemas.openxmlformats.org/officeDocument/2006/relationships/hyperlink" Target="https://pubmed.ncbi.nlm.nih.gov/35182906" TargetMode="External"/><Relationship Id="rId1203" Type="http://schemas.openxmlformats.org/officeDocument/2006/relationships/hyperlink" Target="https://clinicaltrials.gov/study/NCT05296720" TargetMode="External"/><Relationship Id="rId1410" Type="http://schemas.openxmlformats.org/officeDocument/2006/relationships/hyperlink" Target="https://pubmed.ncbi.nlm.nih.gov/31416745" TargetMode="External"/><Relationship Id="rId1508" Type="http://schemas.openxmlformats.org/officeDocument/2006/relationships/hyperlink" Target="https://pubmed.ncbi.nlm.nih.gov/32667636" TargetMode="External"/><Relationship Id="rId1855" Type="http://schemas.openxmlformats.org/officeDocument/2006/relationships/hyperlink" Target="https://clinicaltrials.gov/study/NCT06515522" TargetMode="External"/><Relationship Id="rId1715" Type="http://schemas.openxmlformats.org/officeDocument/2006/relationships/hyperlink" Target="https://pubmed.ncbi.nlm.nih.gov/36720576" TargetMode="External"/><Relationship Id="rId1922" Type="http://schemas.openxmlformats.org/officeDocument/2006/relationships/hyperlink" Target="https://pubmed.ncbi.nlm.nih.gov/31708380" TargetMode="External"/><Relationship Id="rId296" Type="http://schemas.openxmlformats.org/officeDocument/2006/relationships/hyperlink" Target="https://clinicaltrials.gov/study/NCT05325645" TargetMode="External"/><Relationship Id="rId156" Type="http://schemas.openxmlformats.org/officeDocument/2006/relationships/hyperlink" Target="https://clinicaltrials.gov/study/NCT04366401" TargetMode="External"/><Relationship Id="rId363" Type="http://schemas.openxmlformats.org/officeDocument/2006/relationships/hyperlink" Target="https://clinicaltrials.gov/study/NCT05723328" TargetMode="External"/><Relationship Id="rId570" Type="http://schemas.openxmlformats.org/officeDocument/2006/relationships/hyperlink" Target="https://pubmed.ncbi.nlm.nih.gov/32332459" TargetMode="External"/><Relationship Id="rId223" Type="http://schemas.openxmlformats.org/officeDocument/2006/relationships/hyperlink" Target="https://clinicaltrials.gov/study/NCT04867681" TargetMode="External"/><Relationship Id="rId430" Type="http://schemas.openxmlformats.org/officeDocument/2006/relationships/hyperlink" Target="https://clinicaltrials.gov/study/NCT06231407" TargetMode="External"/><Relationship Id="rId668" Type="http://schemas.openxmlformats.org/officeDocument/2006/relationships/hyperlink" Target="https://pubmed.ncbi.nlm.nih.gov/33908296" TargetMode="External"/><Relationship Id="rId875" Type="http://schemas.openxmlformats.org/officeDocument/2006/relationships/hyperlink" Target="https://pubmed.ncbi.nlm.nih.gov/38713452" TargetMode="External"/><Relationship Id="rId1060" Type="http://schemas.openxmlformats.org/officeDocument/2006/relationships/hyperlink" Target="https://clinicaltrials.gov/study/NCT04300946" TargetMode="External"/><Relationship Id="rId1298" Type="http://schemas.openxmlformats.org/officeDocument/2006/relationships/hyperlink" Target="https://clinicaltrials.gov/study/NCT05866328" TargetMode="External"/><Relationship Id="rId528" Type="http://schemas.openxmlformats.org/officeDocument/2006/relationships/hyperlink" Target="https://pubmed.ncbi.nlm.nih.gov/31747930" TargetMode="External"/><Relationship Id="rId735" Type="http://schemas.openxmlformats.org/officeDocument/2006/relationships/hyperlink" Target="https://pubmed.ncbi.nlm.nih.gov/35211743" TargetMode="External"/><Relationship Id="rId942" Type="http://schemas.openxmlformats.org/officeDocument/2006/relationships/hyperlink" Target="https://drks.de/search/en/trial/DRKS00034544" TargetMode="External"/><Relationship Id="rId1158" Type="http://schemas.openxmlformats.org/officeDocument/2006/relationships/hyperlink" Target="https://clinicaltrials.gov/study/NCT05025605" TargetMode="External"/><Relationship Id="rId1365" Type="http://schemas.openxmlformats.org/officeDocument/2006/relationships/hyperlink" Target="https://clinicaltrials.gov/study/NCT06423651" TargetMode="External"/><Relationship Id="rId1572" Type="http://schemas.openxmlformats.org/officeDocument/2006/relationships/hyperlink" Target="https://pubmed.ncbi.nlm.nih.gov/33783399" TargetMode="External"/><Relationship Id="rId1018" Type="http://schemas.openxmlformats.org/officeDocument/2006/relationships/hyperlink" Target="https://clinicaltrials.gov/study/NCT04033978" TargetMode="External"/><Relationship Id="rId1225" Type="http://schemas.openxmlformats.org/officeDocument/2006/relationships/hyperlink" Target="https://clinicaltrials.gov/study/NCT05368558" TargetMode="External"/><Relationship Id="rId1432" Type="http://schemas.openxmlformats.org/officeDocument/2006/relationships/hyperlink" Target="https://pubmed.ncbi.nlm.nih.gov/31672387" TargetMode="External"/><Relationship Id="rId1877" Type="http://schemas.openxmlformats.org/officeDocument/2006/relationships/hyperlink" Target="https://pubmed.ncbi.nlm.nih.gov/32925028" TargetMode="External"/><Relationship Id="rId71" Type="http://schemas.openxmlformats.org/officeDocument/2006/relationships/hyperlink" Target="https://jrct.niph.go.jp/en-latest-detail/jRCTs052230030" TargetMode="External"/><Relationship Id="rId802" Type="http://schemas.openxmlformats.org/officeDocument/2006/relationships/hyperlink" Target="https://pubmed.ncbi.nlm.nih.gov/36803673" TargetMode="External"/><Relationship Id="rId1737" Type="http://schemas.openxmlformats.org/officeDocument/2006/relationships/hyperlink" Target="https://pubmed.ncbi.nlm.nih.gov/37118058" TargetMode="External"/><Relationship Id="rId29" Type="http://schemas.openxmlformats.org/officeDocument/2006/relationships/hyperlink" Target="https://www.isrctn.com/ISRCTN18419418" TargetMode="External"/><Relationship Id="rId178" Type="http://schemas.openxmlformats.org/officeDocument/2006/relationships/hyperlink" Target="https://clinicaltrials.gov/study/NCT04531982" TargetMode="External"/><Relationship Id="rId1804" Type="http://schemas.openxmlformats.org/officeDocument/2006/relationships/hyperlink" Target="https://center6.umin.ac.jp/cgi-open-bin/ctr_e/ctr_view.cgi?recptno=R000041477" TargetMode="External"/><Relationship Id="rId385" Type="http://schemas.openxmlformats.org/officeDocument/2006/relationships/hyperlink" Target="https://clinicaltrials.gov/study/NCT05890183" TargetMode="External"/><Relationship Id="rId592" Type="http://schemas.openxmlformats.org/officeDocument/2006/relationships/hyperlink" Target="https://pubmed.ncbi.nlm.nih.gov/32648810" TargetMode="External"/><Relationship Id="rId245" Type="http://schemas.openxmlformats.org/officeDocument/2006/relationships/hyperlink" Target="https://clinicaltrials.gov/study/NCT05032963" TargetMode="External"/><Relationship Id="rId452" Type="http://schemas.openxmlformats.org/officeDocument/2006/relationships/hyperlink" Target="https://clinicaltrials.gov/study/NCT06456983" TargetMode="External"/><Relationship Id="rId897" Type="http://schemas.openxmlformats.org/officeDocument/2006/relationships/hyperlink" Target="https://center6.umin.ac.jp/cgi-open-bin/ctr_e/ctr_view.cgi?recptno=R000049467" TargetMode="External"/><Relationship Id="rId1082" Type="http://schemas.openxmlformats.org/officeDocument/2006/relationships/hyperlink" Target="https://clinicaltrials.gov/study/NCT04452175" TargetMode="External"/><Relationship Id="rId105" Type="http://schemas.openxmlformats.org/officeDocument/2006/relationships/hyperlink" Target="https://clinicaltrials.gov/study/NCT04038957" TargetMode="External"/><Relationship Id="rId312" Type="http://schemas.openxmlformats.org/officeDocument/2006/relationships/hyperlink" Target="https://clinicaltrials.gov/study/NCT05389787" TargetMode="External"/><Relationship Id="rId757" Type="http://schemas.openxmlformats.org/officeDocument/2006/relationships/hyperlink" Target="https://pubmed.ncbi.nlm.nih.gov/35687858" TargetMode="External"/><Relationship Id="rId964" Type="http://schemas.openxmlformats.org/officeDocument/2006/relationships/hyperlink" Target="https://jrct.niph.go.jp/en-latest-detail/jRCT1060240011" TargetMode="External"/><Relationship Id="rId1387" Type="http://schemas.openxmlformats.org/officeDocument/2006/relationships/hyperlink" Target="https://pubmed.ncbi.nlm.nih.gov/30777584" TargetMode="External"/><Relationship Id="rId1594" Type="http://schemas.openxmlformats.org/officeDocument/2006/relationships/hyperlink" Target="https://pubmed.ncbi.nlm.nih.gov/34170518" TargetMode="External"/><Relationship Id="rId93" Type="http://schemas.openxmlformats.org/officeDocument/2006/relationships/hyperlink" Target="https://clinicaltrials.gov/study/NCT04004364" TargetMode="External"/><Relationship Id="rId617" Type="http://schemas.openxmlformats.org/officeDocument/2006/relationships/hyperlink" Target="https://pubmed.ncbi.nlm.nih.gov/33009905" TargetMode="External"/><Relationship Id="rId824" Type="http://schemas.openxmlformats.org/officeDocument/2006/relationships/hyperlink" Target="https://pubmed.ncbi.nlm.nih.gov/37232002" TargetMode="External"/><Relationship Id="rId1247" Type="http://schemas.openxmlformats.org/officeDocument/2006/relationships/hyperlink" Target="https://clinicaltrials.gov/study/NCT05526833" TargetMode="External"/><Relationship Id="rId1454" Type="http://schemas.openxmlformats.org/officeDocument/2006/relationships/hyperlink" Target="https://pubmed.ncbi.nlm.nih.gov/31837113" TargetMode="External"/><Relationship Id="rId1661" Type="http://schemas.openxmlformats.org/officeDocument/2006/relationships/hyperlink" Target="https://pubmed.ncbi.nlm.nih.gov/35443947" TargetMode="External"/><Relationship Id="rId1899" Type="http://schemas.openxmlformats.org/officeDocument/2006/relationships/hyperlink" Target="https://clinicaltrials.gov/study/NCT05725785" TargetMode="External"/><Relationship Id="rId1107" Type="http://schemas.openxmlformats.org/officeDocument/2006/relationships/hyperlink" Target="https://clinicaltrials.gov/study/NCT04631939" TargetMode="External"/><Relationship Id="rId1314" Type="http://schemas.openxmlformats.org/officeDocument/2006/relationships/hyperlink" Target="https://clinicaltrials.gov/study/NCT05980949" TargetMode="External"/><Relationship Id="rId1521" Type="http://schemas.openxmlformats.org/officeDocument/2006/relationships/hyperlink" Target="https://pubmed.ncbi.nlm.nih.gov/32868522" TargetMode="External"/><Relationship Id="rId1759" Type="http://schemas.openxmlformats.org/officeDocument/2006/relationships/hyperlink" Target="https://pubmed.ncbi.nlm.nih.gov/37857138" TargetMode="External"/><Relationship Id="rId1619" Type="http://schemas.openxmlformats.org/officeDocument/2006/relationships/hyperlink" Target="https://pubmed.ncbi.nlm.nih.gov/34633280" TargetMode="External"/><Relationship Id="rId1826" Type="http://schemas.openxmlformats.org/officeDocument/2006/relationships/hyperlink" Target="https://center6.umin.ac.jp/cgi-open-bin/ctr_e/ctr_view.cgi?recptno=R000062009" TargetMode="External"/><Relationship Id="rId20" Type="http://schemas.openxmlformats.org/officeDocument/2006/relationships/hyperlink" Target="https://drks.de/search/en/trial/DRKS00028050" TargetMode="External"/><Relationship Id="rId267" Type="http://schemas.openxmlformats.org/officeDocument/2006/relationships/hyperlink" Target="https://clinicaltrials.gov/study/NCT05179525" TargetMode="External"/><Relationship Id="rId474" Type="http://schemas.openxmlformats.org/officeDocument/2006/relationships/hyperlink" Target="https://pubmed.ncbi.nlm.nih.gov/30822774" TargetMode="External"/><Relationship Id="rId127" Type="http://schemas.openxmlformats.org/officeDocument/2006/relationships/hyperlink" Target="https://clinicaltrials.gov/study/NCT04173572" TargetMode="External"/><Relationship Id="rId681" Type="http://schemas.openxmlformats.org/officeDocument/2006/relationships/hyperlink" Target="https://pubmed.ncbi.nlm.nih.gov/34242396" TargetMode="External"/><Relationship Id="rId779" Type="http://schemas.openxmlformats.org/officeDocument/2006/relationships/hyperlink" Target="https://pubmed.ncbi.nlm.nih.gov/36153555" TargetMode="External"/><Relationship Id="rId986" Type="http://schemas.openxmlformats.org/officeDocument/2006/relationships/hyperlink" Target="https://jrct.niph.go.jp/en-latest-detail/jRCTs052230030" TargetMode="External"/><Relationship Id="rId334" Type="http://schemas.openxmlformats.org/officeDocument/2006/relationships/hyperlink" Target="https://clinicaltrials.gov/study/NCT05532683" TargetMode="External"/><Relationship Id="rId541" Type="http://schemas.openxmlformats.org/officeDocument/2006/relationships/hyperlink" Target="https://pubmed.ncbi.nlm.nih.gov/31876117" TargetMode="External"/><Relationship Id="rId639" Type="http://schemas.openxmlformats.org/officeDocument/2006/relationships/hyperlink" Target="https://pubmed.ncbi.nlm.nih.gov/33347024" TargetMode="External"/><Relationship Id="rId1171" Type="http://schemas.openxmlformats.org/officeDocument/2006/relationships/hyperlink" Target="https://clinicaltrials.gov/study/NCT05115604" TargetMode="External"/><Relationship Id="rId1269" Type="http://schemas.openxmlformats.org/officeDocument/2006/relationships/hyperlink" Target="https://clinicaltrials.gov/study/NCT05662306" TargetMode="External"/><Relationship Id="rId1476" Type="http://schemas.openxmlformats.org/officeDocument/2006/relationships/hyperlink" Target="https://pubmed.ncbi.nlm.nih.gov/32169403" TargetMode="External"/><Relationship Id="rId401" Type="http://schemas.openxmlformats.org/officeDocument/2006/relationships/hyperlink" Target="https://clinicaltrials.gov/study/NCT06002958" TargetMode="External"/><Relationship Id="rId846" Type="http://schemas.openxmlformats.org/officeDocument/2006/relationships/hyperlink" Target="https://pubmed.ncbi.nlm.nih.gov/37924833" TargetMode="External"/><Relationship Id="rId1031" Type="http://schemas.openxmlformats.org/officeDocument/2006/relationships/hyperlink" Target="https://clinicaltrials.gov/study/NCT04118283" TargetMode="External"/><Relationship Id="rId1129" Type="http://schemas.openxmlformats.org/officeDocument/2006/relationships/hyperlink" Target="https://clinicaltrials.gov/study/NCT04820309" TargetMode="External"/><Relationship Id="rId1683" Type="http://schemas.openxmlformats.org/officeDocument/2006/relationships/hyperlink" Target="https://pubmed.ncbi.nlm.nih.gov/35939920" TargetMode="External"/><Relationship Id="rId1890" Type="http://schemas.openxmlformats.org/officeDocument/2006/relationships/hyperlink" Target="https://clinicaltrials.gov/study/NCT03271814" TargetMode="External"/><Relationship Id="rId706" Type="http://schemas.openxmlformats.org/officeDocument/2006/relationships/hyperlink" Target="https://pubmed.ncbi.nlm.nih.gov/34653740" TargetMode="External"/><Relationship Id="rId913" Type="http://schemas.openxmlformats.org/officeDocument/2006/relationships/hyperlink" Target="https://www.clinicaltrialsregister.eu/ctr-search/trial/2021-000350-26/ES" TargetMode="External"/><Relationship Id="rId1336" Type="http://schemas.openxmlformats.org/officeDocument/2006/relationships/hyperlink" Target="https://clinicaltrials.gov/study/NCT06159322" TargetMode="External"/><Relationship Id="rId1543" Type="http://schemas.openxmlformats.org/officeDocument/2006/relationships/hyperlink" Target="https://pubmed.ncbi.nlm.nih.gov/33210279" TargetMode="External"/><Relationship Id="rId1750" Type="http://schemas.openxmlformats.org/officeDocument/2006/relationships/hyperlink" Target="https://pubmed.ncbi.nlm.nih.gov/37647498" TargetMode="External"/><Relationship Id="rId42" Type="http://schemas.openxmlformats.org/officeDocument/2006/relationships/hyperlink" Target="https://jrct.niph.go.jp/en-latest-detail/jRCT1030220320" TargetMode="External"/><Relationship Id="rId1403" Type="http://schemas.openxmlformats.org/officeDocument/2006/relationships/hyperlink" Target="https://pubmed.ncbi.nlm.nih.gov/31343440" TargetMode="External"/><Relationship Id="rId1610" Type="http://schemas.openxmlformats.org/officeDocument/2006/relationships/hyperlink" Target="https://pubmed.ncbi.nlm.nih.gov/34470506" TargetMode="External"/><Relationship Id="rId1848" Type="http://schemas.openxmlformats.org/officeDocument/2006/relationships/hyperlink" Target="https://clinicaltrials.gov/study/NCT05956600" TargetMode="External"/><Relationship Id="rId191" Type="http://schemas.openxmlformats.org/officeDocument/2006/relationships/hyperlink" Target="https://clinicaltrials.gov/study/NCT04624243" TargetMode="External"/><Relationship Id="rId1708" Type="http://schemas.openxmlformats.org/officeDocument/2006/relationships/hyperlink" Target="https://pubmed.ncbi.nlm.nih.gov/36541795" TargetMode="External"/><Relationship Id="rId1915" Type="http://schemas.openxmlformats.org/officeDocument/2006/relationships/hyperlink" Target="https://clinicaltrials.gov/study/NCT06540833" TargetMode="External"/><Relationship Id="rId289" Type="http://schemas.openxmlformats.org/officeDocument/2006/relationships/hyperlink" Target="https://clinicaltrials.gov/study/NCT05299749" TargetMode="External"/><Relationship Id="rId496" Type="http://schemas.openxmlformats.org/officeDocument/2006/relationships/hyperlink" Target="https://pubmed.ncbi.nlm.nih.gov/31437659" TargetMode="External"/><Relationship Id="rId149" Type="http://schemas.openxmlformats.org/officeDocument/2006/relationships/hyperlink" Target="https://clinicaltrials.gov/study/NCT04312503" TargetMode="External"/><Relationship Id="rId356" Type="http://schemas.openxmlformats.org/officeDocument/2006/relationships/hyperlink" Target="https://clinicaltrials.gov/study/NCT05670197" TargetMode="External"/><Relationship Id="rId563" Type="http://schemas.openxmlformats.org/officeDocument/2006/relationships/hyperlink" Target="https://pubmed.ncbi.nlm.nih.gov/32220153" TargetMode="External"/><Relationship Id="rId770" Type="http://schemas.openxmlformats.org/officeDocument/2006/relationships/hyperlink" Target="https://pubmed.ncbi.nlm.nih.gov/35953474" TargetMode="External"/><Relationship Id="rId1193" Type="http://schemas.openxmlformats.org/officeDocument/2006/relationships/hyperlink" Target="https://clinicaltrials.gov/study/NCT05227703" TargetMode="External"/><Relationship Id="rId216" Type="http://schemas.openxmlformats.org/officeDocument/2006/relationships/hyperlink" Target="https://clinicaltrials.gov/study/NCT04825860" TargetMode="External"/><Relationship Id="rId423" Type="http://schemas.openxmlformats.org/officeDocument/2006/relationships/hyperlink" Target="https://clinicaltrials.gov/study/NCT06174116" TargetMode="External"/><Relationship Id="rId868" Type="http://schemas.openxmlformats.org/officeDocument/2006/relationships/hyperlink" Target="https://pubmed.ncbi.nlm.nih.gov/38527949" TargetMode="External"/><Relationship Id="rId1053" Type="http://schemas.openxmlformats.org/officeDocument/2006/relationships/hyperlink" Target="https://clinicaltrials.gov/study/NCT04248517" TargetMode="External"/><Relationship Id="rId1260" Type="http://schemas.openxmlformats.org/officeDocument/2006/relationships/hyperlink" Target="https://clinicaltrials.gov/study/NCT05628103" TargetMode="External"/><Relationship Id="rId1498" Type="http://schemas.openxmlformats.org/officeDocument/2006/relationships/hyperlink" Target="https://pubmed.ncbi.nlm.nih.gov/32483253" TargetMode="External"/><Relationship Id="rId630" Type="http://schemas.openxmlformats.org/officeDocument/2006/relationships/hyperlink" Target="https://pubmed.ncbi.nlm.nih.gov/33223272" TargetMode="External"/><Relationship Id="rId728" Type="http://schemas.openxmlformats.org/officeDocument/2006/relationships/hyperlink" Target="https://pubmed.ncbi.nlm.nih.gov/35037116" TargetMode="External"/><Relationship Id="rId935" Type="http://schemas.openxmlformats.org/officeDocument/2006/relationships/hyperlink" Target="https://drks.de/search/en/trial/DRKS00028050" TargetMode="External"/><Relationship Id="rId1358" Type="http://schemas.openxmlformats.org/officeDocument/2006/relationships/hyperlink" Target="https://clinicaltrials.gov/study/NCT06345963" TargetMode="External"/><Relationship Id="rId1565" Type="http://schemas.openxmlformats.org/officeDocument/2006/relationships/hyperlink" Target="https://pubmed.ncbi.nlm.nih.gov/33610228" TargetMode="External"/><Relationship Id="rId1772" Type="http://schemas.openxmlformats.org/officeDocument/2006/relationships/hyperlink" Target="https://pubmed.ncbi.nlm.nih.gov/38262165" TargetMode="External"/><Relationship Id="rId64" Type="http://schemas.openxmlformats.org/officeDocument/2006/relationships/hyperlink" Target="https://jrct.niph.go.jp/en-latest-detail/jRCTs032190089" TargetMode="External"/><Relationship Id="rId1120" Type="http://schemas.openxmlformats.org/officeDocument/2006/relationships/hyperlink" Target="https://clinicaltrials.gov/study/NCT04763655" TargetMode="External"/><Relationship Id="rId1218" Type="http://schemas.openxmlformats.org/officeDocument/2006/relationships/hyperlink" Target="https://clinicaltrials.gov/study/NCT05343598" TargetMode="External"/><Relationship Id="rId1425" Type="http://schemas.openxmlformats.org/officeDocument/2006/relationships/hyperlink" Target="https://pubmed.ncbi.nlm.nih.gov/31633254" TargetMode="External"/><Relationship Id="rId1632" Type="http://schemas.openxmlformats.org/officeDocument/2006/relationships/hyperlink" Target="https://pubmed.ncbi.nlm.nih.gov/34861170" TargetMode="External"/><Relationship Id="rId1937" Type="http://schemas.openxmlformats.org/officeDocument/2006/relationships/hyperlink" Target="https://pubmed.ncbi.nlm.nih.gov/36076584" TargetMode="External"/><Relationship Id="rId280" Type="http://schemas.openxmlformats.org/officeDocument/2006/relationships/hyperlink" Target="https://clinicaltrials.gov/study/NCT05247151" TargetMode="External"/><Relationship Id="rId140" Type="http://schemas.openxmlformats.org/officeDocument/2006/relationships/hyperlink" Target="https://clinicaltrials.gov/study/NCT04268303" TargetMode="External"/><Relationship Id="rId378" Type="http://schemas.openxmlformats.org/officeDocument/2006/relationships/hyperlink" Target="https://clinicaltrials.gov/study/NCT05838560" TargetMode="External"/><Relationship Id="rId585" Type="http://schemas.openxmlformats.org/officeDocument/2006/relationships/hyperlink" Target="https://pubmed.ncbi.nlm.nih.gov/32519208" TargetMode="External"/><Relationship Id="rId792" Type="http://schemas.openxmlformats.org/officeDocument/2006/relationships/hyperlink" Target="https://pubmed.ncbi.nlm.nih.gov/36475415" TargetMode="External"/><Relationship Id="rId6" Type="http://schemas.openxmlformats.org/officeDocument/2006/relationships/hyperlink" Target="https://drks.de/search/en/trial/DRKS00020476" TargetMode="External"/><Relationship Id="rId238" Type="http://schemas.openxmlformats.org/officeDocument/2006/relationships/hyperlink" Target="https://clinicaltrials.gov/study/NCT04986072" TargetMode="External"/><Relationship Id="rId445" Type="http://schemas.openxmlformats.org/officeDocument/2006/relationships/hyperlink" Target="https://clinicaltrials.gov/study/NCT06372210" TargetMode="External"/><Relationship Id="rId652" Type="http://schemas.openxmlformats.org/officeDocument/2006/relationships/hyperlink" Target="https://pubmed.ncbi.nlm.nih.gov/33630646" TargetMode="External"/><Relationship Id="rId1075" Type="http://schemas.openxmlformats.org/officeDocument/2006/relationships/hyperlink" Target="https://clinicaltrials.gov/study/NCT04399096" TargetMode="External"/><Relationship Id="rId1282" Type="http://schemas.openxmlformats.org/officeDocument/2006/relationships/hyperlink" Target="https://clinicaltrials.gov/study/NCT05741528" TargetMode="External"/><Relationship Id="rId305" Type="http://schemas.openxmlformats.org/officeDocument/2006/relationships/hyperlink" Target="https://clinicaltrials.gov/study/NCT05345977" TargetMode="External"/><Relationship Id="rId512" Type="http://schemas.openxmlformats.org/officeDocument/2006/relationships/hyperlink" Target="https://pubmed.ncbi.nlm.nih.gov/31641831" TargetMode="External"/><Relationship Id="rId957" Type="http://schemas.openxmlformats.org/officeDocument/2006/relationships/hyperlink" Target="https://jrct.niph.go.jp/en-latest-detail/jRCT1030220320" TargetMode="External"/><Relationship Id="rId1142" Type="http://schemas.openxmlformats.org/officeDocument/2006/relationships/hyperlink" Target="https://clinicaltrials.gov/study/NCT04895488" TargetMode="External"/><Relationship Id="rId1587" Type="http://schemas.openxmlformats.org/officeDocument/2006/relationships/hyperlink" Target="https://pubmed.ncbi.nlm.nih.gov/33966678" TargetMode="External"/><Relationship Id="rId1794" Type="http://schemas.openxmlformats.org/officeDocument/2006/relationships/hyperlink" Target="https://pubmed.ncbi.nlm.nih.gov/38769284" TargetMode="External"/><Relationship Id="rId86" Type="http://schemas.openxmlformats.org/officeDocument/2006/relationships/hyperlink" Target="https://clinicaltrials.gov/study/NCT03971487" TargetMode="External"/><Relationship Id="rId817" Type="http://schemas.openxmlformats.org/officeDocument/2006/relationships/hyperlink" Target="https://pubmed.ncbi.nlm.nih.gov/37010371" TargetMode="External"/><Relationship Id="rId1002" Type="http://schemas.openxmlformats.org/officeDocument/2006/relationships/hyperlink" Target="https://clinicaltrials.gov/study/NCT03972735" TargetMode="External"/><Relationship Id="rId1447" Type="http://schemas.openxmlformats.org/officeDocument/2006/relationships/hyperlink" Target="https://pubmed.ncbi.nlm.nih.gov/31780589" TargetMode="External"/><Relationship Id="rId1654" Type="http://schemas.openxmlformats.org/officeDocument/2006/relationships/hyperlink" Target="https://pubmed.ncbi.nlm.nih.gov/35276716" TargetMode="External"/><Relationship Id="rId1861" Type="http://schemas.openxmlformats.org/officeDocument/2006/relationships/hyperlink" Target="https://clinicaltrials.gov/study/NCT06540833" TargetMode="External"/><Relationship Id="rId1307" Type="http://schemas.openxmlformats.org/officeDocument/2006/relationships/hyperlink" Target="https://clinicaltrials.gov/study/NCT05956327" TargetMode="External"/><Relationship Id="rId1514" Type="http://schemas.openxmlformats.org/officeDocument/2006/relationships/hyperlink" Target="https://pubmed.ncbi.nlm.nih.gov/32763112" TargetMode="External"/><Relationship Id="rId1721" Type="http://schemas.openxmlformats.org/officeDocument/2006/relationships/hyperlink" Target="https://pubmed.ncbi.nlm.nih.gov/36883881" TargetMode="External"/><Relationship Id="rId13" Type="http://schemas.openxmlformats.org/officeDocument/2006/relationships/hyperlink" Target="https://drks.de/search/en/trial/DRKS00024978" TargetMode="External"/><Relationship Id="rId1819" Type="http://schemas.openxmlformats.org/officeDocument/2006/relationships/hyperlink" Target="https://center6.umin.ac.jp/cgi-open-bin/ctr_e/ctr_view.cgi?recptno=R000055454" TargetMode="External"/><Relationship Id="rId162" Type="http://schemas.openxmlformats.org/officeDocument/2006/relationships/hyperlink" Target="https://clinicaltrials.gov/study/NCT04414930" TargetMode="External"/><Relationship Id="rId467" Type="http://schemas.openxmlformats.org/officeDocument/2006/relationships/hyperlink" Target="https://pubmed.ncbi.nlm.nih.gov/30536081" TargetMode="External"/><Relationship Id="rId1097" Type="http://schemas.openxmlformats.org/officeDocument/2006/relationships/hyperlink" Target="https://clinicaltrials.gov/study/NCT04572685" TargetMode="External"/><Relationship Id="rId674" Type="http://schemas.openxmlformats.org/officeDocument/2006/relationships/hyperlink" Target="https://pubmed.ncbi.nlm.nih.gov/33998142" TargetMode="External"/><Relationship Id="rId881" Type="http://schemas.openxmlformats.org/officeDocument/2006/relationships/hyperlink" Target="https://pubmed.ncbi.nlm.nih.gov/38877468" TargetMode="External"/><Relationship Id="rId979" Type="http://schemas.openxmlformats.org/officeDocument/2006/relationships/hyperlink" Target="https://jrct.niph.go.jp/en-latest-detail/jRCTs032190089" TargetMode="External"/><Relationship Id="rId327" Type="http://schemas.openxmlformats.org/officeDocument/2006/relationships/hyperlink" Target="https://clinicaltrials.gov/study/NCT05480826" TargetMode="External"/><Relationship Id="rId534" Type="http://schemas.openxmlformats.org/officeDocument/2006/relationships/hyperlink" Target="https://pubmed.ncbi.nlm.nih.gov/31788985" TargetMode="External"/><Relationship Id="rId741" Type="http://schemas.openxmlformats.org/officeDocument/2006/relationships/hyperlink" Target="https://pubmed.ncbi.nlm.nih.gov/35303462" TargetMode="External"/><Relationship Id="rId839" Type="http://schemas.openxmlformats.org/officeDocument/2006/relationships/hyperlink" Target="https://pubmed.ncbi.nlm.nih.gov/37696635" TargetMode="External"/><Relationship Id="rId1164" Type="http://schemas.openxmlformats.org/officeDocument/2006/relationships/hyperlink" Target="https://clinicaltrials.gov/study/NCT05083377" TargetMode="External"/><Relationship Id="rId1371" Type="http://schemas.openxmlformats.org/officeDocument/2006/relationships/hyperlink" Target="https://clinicaltrials.gov/study/NCT06494397" TargetMode="External"/><Relationship Id="rId1469" Type="http://schemas.openxmlformats.org/officeDocument/2006/relationships/hyperlink" Target="https://pubmed.ncbi.nlm.nih.gov/32068895" TargetMode="External"/><Relationship Id="rId601" Type="http://schemas.openxmlformats.org/officeDocument/2006/relationships/hyperlink" Target="https://pubmed.ncbi.nlm.nih.gov/32791894" TargetMode="External"/><Relationship Id="rId1024" Type="http://schemas.openxmlformats.org/officeDocument/2006/relationships/hyperlink" Target="https://clinicaltrials.gov/study/NCT04068857" TargetMode="External"/><Relationship Id="rId1231" Type="http://schemas.openxmlformats.org/officeDocument/2006/relationships/hyperlink" Target="https://clinicaltrials.gov/study/NCT05435300" TargetMode="External"/><Relationship Id="rId1676" Type="http://schemas.openxmlformats.org/officeDocument/2006/relationships/hyperlink" Target="https://pubmed.ncbi.nlm.nih.gov/35759349" TargetMode="External"/><Relationship Id="rId1883" Type="http://schemas.openxmlformats.org/officeDocument/2006/relationships/hyperlink" Target="https://pubmed.ncbi.nlm.nih.gov/38116916" TargetMode="External"/><Relationship Id="rId906" Type="http://schemas.openxmlformats.org/officeDocument/2006/relationships/hyperlink" Target="https://center6.umin.ac.jp/cgi-open-bin/ctr_e/ctr_view.cgi?recptno=R000057436" TargetMode="External"/><Relationship Id="rId1329" Type="http://schemas.openxmlformats.org/officeDocument/2006/relationships/hyperlink" Target="https://clinicaltrials.gov/study/NCT06118268" TargetMode="External"/><Relationship Id="rId1536" Type="http://schemas.openxmlformats.org/officeDocument/2006/relationships/hyperlink" Target="https://pubmed.ncbi.nlm.nih.gov/33113211" TargetMode="External"/><Relationship Id="rId1743" Type="http://schemas.openxmlformats.org/officeDocument/2006/relationships/hyperlink" Target="https://pubmed.ncbi.nlm.nih.gov/37442999" TargetMode="External"/><Relationship Id="rId35" Type="http://schemas.openxmlformats.org/officeDocument/2006/relationships/hyperlink" Target="https://www.isrctn.com/ISRCTN77257074" TargetMode="External"/><Relationship Id="rId1603" Type="http://schemas.openxmlformats.org/officeDocument/2006/relationships/hyperlink" Target="https://pubmed.ncbi.nlm.nih.gov/34309576" TargetMode="External"/><Relationship Id="rId1810" Type="http://schemas.openxmlformats.org/officeDocument/2006/relationships/hyperlink" Target="https://center6.umin.ac.jp/cgi-open-bin/ctr_e/ctr_view.cgi?recptno=R000048804" TargetMode="External"/><Relationship Id="rId184" Type="http://schemas.openxmlformats.org/officeDocument/2006/relationships/hyperlink" Target="https://clinicaltrials.gov/study/NCT04578756" TargetMode="External"/><Relationship Id="rId391" Type="http://schemas.openxmlformats.org/officeDocument/2006/relationships/hyperlink" Target="https://clinicaltrials.gov/study/NCT05953740" TargetMode="External"/><Relationship Id="rId1908" Type="http://schemas.openxmlformats.org/officeDocument/2006/relationships/hyperlink" Target="https://clinicaltrials.gov/study/NCT06155682" TargetMode="External"/><Relationship Id="rId251" Type="http://schemas.openxmlformats.org/officeDocument/2006/relationships/hyperlink" Target="https://clinicaltrials.gov/study/NCT05105542" TargetMode="External"/><Relationship Id="rId489" Type="http://schemas.openxmlformats.org/officeDocument/2006/relationships/hyperlink" Target="https://pubmed.ncbi.nlm.nih.gov/31353759" TargetMode="External"/><Relationship Id="rId696" Type="http://schemas.openxmlformats.org/officeDocument/2006/relationships/hyperlink" Target="https://pubmed.ncbi.nlm.nih.gov/34500174" TargetMode="External"/><Relationship Id="rId349" Type="http://schemas.openxmlformats.org/officeDocument/2006/relationships/hyperlink" Target="https://clinicaltrials.gov/study/NCT05654870" TargetMode="External"/><Relationship Id="rId556" Type="http://schemas.openxmlformats.org/officeDocument/2006/relationships/hyperlink" Target="https://pubmed.ncbi.nlm.nih.gov/32107101" TargetMode="External"/><Relationship Id="rId763" Type="http://schemas.openxmlformats.org/officeDocument/2006/relationships/hyperlink" Target="https://pubmed.ncbi.nlm.nih.gov/35781191" TargetMode="External"/><Relationship Id="rId1186" Type="http://schemas.openxmlformats.org/officeDocument/2006/relationships/hyperlink" Target="https://clinicaltrials.gov/study/NCT05204407" TargetMode="External"/><Relationship Id="rId1393" Type="http://schemas.openxmlformats.org/officeDocument/2006/relationships/hyperlink" Target="https://pubmed.ncbi.nlm.nih.gov/30928978" TargetMode="External"/><Relationship Id="rId111" Type="http://schemas.openxmlformats.org/officeDocument/2006/relationships/hyperlink" Target="https://clinicaltrials.gov/study/NCT04072575" TargetMode="External"/><Relationship Id="rId209" Type="http://schemas.openxmlformats.org/officeDocument/2006/relationships/hyperlink" Target="https://clinicaltrials.gov/study/NCT04783246" TargetMode="External"/><Relationship Id="rId416" Type="http://schemas.openxmlformats.org/officeDocument/2006/relationships/hyperlink" Target="https://clinicaltrials.gov/study/NCT06136390" TargetMode="External"/><Relationship Id="rId970" Type="http://schemas.openxmlformats.org/officeDocument/2006/relationships/hyperlink" Target="https://jrct.niph.go.jp/en-latest-detail/jRCT2031210251" TargetMode="External"/><Relationship Id="rId1046" Type="http://schemas.openxmlformats.org/officeDocument/2006/relationships/hyperlink" Target="https://clinicaltrials.gov/study/NCT04191200" TargetMode="External"/><Relationship Id="rId1253" Type="http://schemas.openxmlformats.org/officeDocument/2006/relationships/hyperlink" Target="https://clinicaltrials.gov/study/NCT05545111" TargetMode="External"/><Relationship Id="rId1698" Type="http://schemas.openxmlformats.org/officeDocument/2006/relationships/hyperlink" Target="https://pubmed.ncbi.nlm.nih.gov/36231292" TargetMode="External"/><Relationship Id="rId623" Type="http://schemas.openxmlformats.org/officeDocument/2006/relationships/hyperlink" Target="https://pubmed.ncbi.nlm.nih.gov/33141785" TargetMode="External"/><Relationship Id="rId830" Type="http://schemas.openxmlformats.org/officeDocument/2006/relationships/hyperlink" Target="https://pubmed.ncbi.nlm.nih.gov/37494877" TargetMode="External"/><Relationship Id="rId928" Type="http://schemas.openxmlformats.org/officeDocument/2006/relationships/hyperlink" Target="https://drks.de/search/en/trial/DRKS00024978" TargetMode="External"/><Relationship Id="rId1460" Type="http://schemas.openxmlformats.org/officeDocument/2006/relationships/hyperlink" Target="https://pubmed.ncbi.nlm.nih.gov/31927311" TargetMode="External"/><Relationship Id="rId1558" Type="http://schemas.openxmlformats.org/officeDocument/2006/relationships/hyperlink" Target="https://pubmed.ncbi.nlm.nih.gov/33479775" TargetMode="External"/><Relationship Id="rId1765" Type="http://schemas.openxmlformats.org/officeDocument/2006/relationships/hyperlink" Target="https://pubmed.ncbi.nlm.nih.gov/38151432" TargetMode="External"/><Relationship Id="rId57" Type="http://schemas.openxmlformats.org/officeDocument/2006/relationships/hyperlink" Target="https://jrct.niph.go.jp/en-latest-detail/jRCT2061220034" TargetMode="External"/><Relationship Id="rId1113" Type="http://schemas.openxmlformats.org/officeDocument/2006/relationships/hyperlink" Target="https://clinicaltrials.gov/study/NCT04689867" TargetMode="External"/><Relationship Id="rId1320" Type="http://schemas.openxmlformats.org/officeDocument/2006/relationships/hyperlink" Target="https://clinicaltrials.gov/study/NCT06041646" TargetMode="External"/><Relationship Id="rId1418" Type="http://schemas.openxmlformats.org/officeDocument/2006/relationships/hyperlink" Target="https://pubmed.ncbi.nlm.nih.gov/31487208" TargetMode="External"/><Relationship Id="rId1625" Type="http://schemas.openxmlformats.org/officeDocument/2006/relationships/hyperlink" Target="https://pubmed.ncbi.nlm.nih.gov/34740708" TargetMode="External"/><Relationship Id="rId1832" Type="http://schemas.openxmlformats.org/officeDocument/2006/relationships/hyperlink" Target="https://pubmed.ncbi.nlm.nih.gov/31835905" TargetMode="External"/><Relationship Id="rId273" Type="http://schemas.openxmlformats.org/officeDocument/2006/relationships/hyperlink" Target="https://clinicaltrials.gov/study/NCT05206734" TargetMode="External"/><Relationship Id="rId480" Type="http://schemas.openxmlformats.org/officeDocument/2006/relationships/hyperlink" Target="https://pubmed.ncbi.nlm.nih.gov/30944045" TargetMode="External"/><Relationship Id="rId133" Type="http://schemas.openxmlformats.org/officeDocument/2006/relationships/hyperlink" Target="https://clinicaltrials.gov/study/NCT04203056" TargetMode="External"/><Relationship Id="rId340" Type="http://schemas.openxmlformats.org/officeDocument/2006/relationships/hyperlink" Target="https://clinicaltrials.gov/study/NCT05567848" TargetMode="External"/><Relationship Id="rId578" Type="http://schemas.openxmlformats.org/officeDocument/2006/relationships/hyperlink" Target="https://pubmed.ncbi.nlm.nih.gov/32403118" TargetMode="External"/><Relationship Id="rId785" Type="http://schemas.openxmlformats.org/officeDocument/2006/relationships/hyperlink" Target="https://pubmed.ncbi.nlm.nih.gov/36370124" TargetMode="External"/><Relationship Id="rId992" Type="http://schemas.openxmlformats.org/officeDocument/2006/relationships/hyperlink" Target="https://clinicaltrials.gov/study/NCT03807388" TargetMode="External"/><Relationship Id="rId200" Type="http://schemas.openxmlformats.org/officeDocument/2006/relationships/hyperlink" Target="https://clinicaltrials.gov/study/NCT04712734" TargetMode="External"/><Relationship Id="rId438" Type="http://schemas.openxmlformats.org/officeDocument/2006/relationships/hyperlink" Target="https://clinicaltrials.gov/study/NCT06315049" TargetMode="External"/><Relationship Id="rId645" Type="http://schemas.openxmlformats.org/officeDocument/2006/relationships/hyperlink" Target="https://pubmed.ncbi.nlm.nih.gov/33551284" TargetMode="External"/><Relationship Id="rId852" Type="http://schemas.openxmlformats.org/officeDocument/2006/relationships/hyperlink" Target="https://pubmed.ncbi.nlm.nih.gov/38166946" TargetMode="External"/><Relationship Id="rId1068" Type="http://schemas.openxmlformats.org/officeDocument/2006/relationships/hyperlink" Target="https://clinicaltrials.gov/study/NCT04325386" TargetMode="External"/><Relationship Id="rId1275" Type="http://schemas.openxmlformats.org/officeDocument/2006/relationships/hyperlink" Target="https://clinicaltrials.gov/study/NCT05703412" TargetMode="External"/><Relationship Id="rId1482" Type="http://schemas.openxmlformats.org/officeDocument/2006/relationships/hyperlink" Target="https://pubmed.ncbi.nlm.nih.gov/32276953" TargetMode="External"/><Relationship Id="rId505" Type="http://schemas.openxmlformats.org/officeDocument/2006/relationships/hyperlink" Target="https://pubmed.ncbi.nlm.nih.gov/31520149" TargetMode="External"/><Relationship Id="rId712" Type="http://schemas.openxmlformats.org/officeDocument/2006/relationships/hyperlink" Target="https://pubmed.ncbi.nlm.nih.gov/34785674" TargetMode="External"/><Relationship Id="rId1135" Type="http://schemas.openxmlformats.org/officeDocument/2006/relationships/hyperlink" Target="https://clinicaltrials.gov/study/NCT04857983" TargetMode="External"/><Relationship Id="rId1342" Type="http://schemas.openxmlformats.org/officeDocument/2006/relationships/hyperlink" Target="https://clinicaltrials.gov/study/NCT06208176" TargetMode="External"/><Relationship Id="rId1787" Type="http://schemas.openxmlformats.org/officeDocument/2006/relationships/hyperlink" Target="https://pubmed.ncbi.nlm.nih.gov/38566884" TargetMode="External"/><Relationship Id="rId79" Type="http://schemas.openxmlformats.org/officeDocument/2006/relationships/hyperlink" Target="https://clinicaltrials.gov/study/NCT03818516" TargetMode="External"/><Relationship Id="rId1202" Type="http://schemas.openxmlformats.org/officeDocument/2006/relationships/hyperlink" Target="https://clinicaltrials.gov/study/NCT05282186" TargetMode="External"/><Relationship Id="rId1647" Type="http://schemas.openxmlformats.org/officeDocument/2006/relationships/hyperlink" Target="https://pubmed.ncbi.nlm.nih.gov/35177673" TargetMode="External"/><Relationship Id="rId1854" Type="http://schemas.openxmlformats.org/officeDocument/2006/relationships/hyperlink" Target="https://clinicaltrials.gov/study/NCT04798131" TargetMode="External"/><Relationship Id="rId1507" Type="http://schemas.openxmlformats.org/officeDocument/2006/relationships/hyperlink" Target="https://pubmed.ncbi.nlm.nih.gov/32648810" TargetMode="External"/><Relationship Id="rId1714" Type="http://schemas.openxmlformats.org/officeDocument/2006/relationships/hyperlink" Target="https://pubmed.ncbi.nlm.nih.gov/36716759" TargetMode="External"/><Relationship Id="rId295" Type="http://schemas.openxmlformats.org/officeDocument/2006/relationships/hyperlink" Target="https://clinicaltrials.gov/study/NCT05322031" TargetMode="External"/><Relationship Id="rId1921" Type="http://schemas.openxmlformats.org/officeDocument/2006/relationships/hyperlink" Target="https://pubmed.ncbi.nlm.nih.gov/31706786" TargetMode="External"/><Relationship Id="rId155" Type="http://schemas.openxmlformats.org/officeDocument/2006/relationships/hyperlink" Target="https://clinicaltrials.gov/study/NCT04338152" TargetMode="External"/><Relationship Id="rId362" Type="http://schemas.openxmlformats.org/officeDocument/2006/relationships/hyperlink" Target="https://clinicaltrials.gov/study/NCT05712928" TargetMode="External"/><Relationship Id="rId1297" Type="http://schemas.openxmlformats.org/officeDocument/2006/relationships/hyperlink" Target="https://clinicaltrials.gov/study/NCT05859698" TargetMode="External"/><Relationship Id="rId222" Type="http://schemas.openxmlformats.org/officeDocument/2006/relationships/hyperlink" Target="https://clinicaltrials.gov/study/NCT04865835" TargetMode="External"/><Relationship Id="rId667" Type="http://schemas.openxmlformats.org/officeDocument/2006/relationships/hyperlink" Target="https://pubmed.ncbi.nlm.nih.gov/33902519" TargetMode="External"/><Relationship Id="rId874" Type="http://schemas.openxmlformats.org/officeDocument/2006/relationships/hyperlink" Target="https://pubmed.ncbi.nlm.nih.gov/38664377" TargetMode="External"/><Relationship Id="rId527" Type="http://schemas.openxmlformats.org/officeDocument/2006/relationships/hyperlink" Target="https://pubmed.ncbi.nlm.nih.gov/31744146" TargetMode="External"/><Relationship Id="rId734" Type="http://schemas.openxmlformats.org/officeDocument/2006/relationships/hyperlink" Target="https://pubmed.ncbi.nlm.nih.gov/35193729" TargetMode="External"/><Relationship Id="rId941" Type="http://schemas.openxmlformats.org/officeDocument/2006/relationships/hyperlink" Target="https://drks.de/search/en/trial/DRKS00034230" TargetMode="External"/><Relationship Id="rId1157" Type="http://schemas.openxmlformats.org/officeDocument/2006/relationships/hyperlink" Target="https://clinicaltrials.gov/study/NCT05023252" TargetMode="External"/><Relationship Id="rId1364" Type="http://schemas.openxmlformats.org/officeDocument/2006/relationships/hyperlink" Target="https://clinicaltrials.gov/study/NCT06389266" TargetMode="External"/><Relationship Id="rId1571" Type="http://schemas.openxmlformats.org/officeDocument/2006/relationships/hyperlink" Target="https://pubmed.ncbi.nlm.nih.gov/33753755" TargetMode="External"/><Relationship Id="rId70" Type="http://schemas.openxmlformats.org/officeDocument/2006/relationships/hyperlink" Target="https://jrct.niph.go.jp/en-latest-detail/jRCTs041210019" TargetMode="External"/><Relationship Id="rId801" Type="http://schemas.openxmlformats.org/officeDocument/2006/relationships/hyperlink" Target="https://pubmed.ncbi.nlm.nih.gov/36797233" TargetMode="External"/><Relationship Id="rId1017" Type="http://schemas.openxmlformats.org/officeDocument/2006/relationships/hyperlink" Target="https://clinicaltrials.gov/study/NCT04033679" TargetMode="External"/><Relationship Id="rId1224" Type="http://schemas.openxmlformats.org/officeDocument/2006/relationships/hyperlink" Target="https://clinicaltrials.gov/study/NCT05359081" TargetMode="External"/><Relationship Id="rId1431" Type="http://schemas.openxmlformats.org/officeDocument/2006/relationships/hyperlink" Target="https://pubmed.ncbi.nlm.nih.gov/31652166" TargetMode="External"/><Relationship Id="rId1669" Type="http://schemas.openxmlformats.org/officeDocument/2006/relationships/hyperlink" Target="https://pubmed.ncbi.nlm.nih.gov/35636031" TargetMode="External"/><Relationship Id="rId1876" Type="http://schemas.openxmlformats.org/officeDocument/2006/relationships/hyperlink" Target="https://pubmed.ncbi.nlm.nih.gov/31587995" TargetMode="External"/><Relationship Id="rId1529" Type="http://schemas.openxmlformats.org/officeDocument/2006/relationships/hyperlink" Target="https://pubmed.ncbi.nlm.nih.gov/32961542" TargetMode="External"/><Relationship Id="rId1736" Type="http://schemas.openxmlformats.org/officeDocument/2006/relationships/hyperlink" Target="https://pubmed.ncbi.nlm.nih.gov/37036495" TargetMode="External"/><Relationship Id="rId1943" Type="http://schemas.openxmlformats.org/officeDocument/2006/relationships/printerSettings" Target="../printerSettings/printerSettings3.bin"/><Relationship Id="rId28" Type="http://schemas.openxmlformats.org/officeDocument/2006/relationships/hyperlink" Target="https://www.isrctn.com/ISRCTN11998005" TargetMode="External"/><Relationship Id="rId1803" Type="http://schemas.openxmlformats.org/officeDocument/2006/relationships/hyperlink" Target="https://center6.umin.ac.jp/cgi-open-bin/ctr_e/ctr_view.cgi?recptno=R000042960" TargetMode="External"/><Relationship Id="rId177" Type="http://schemas.openxmlformats.org/officeDocument/2006/relationships/hyperlink" Target="https://clinicaltrials.gov/study/NCT04526067" TargetMode="External"/><Relationship Id="rId384" Type="http://schemas.openxmlformats.org/officeDocument/2006/relationships/hyperlink" Target="https://clinicaltrials.gov/study/NCT05877716" TargetMode="External"/><Relationship Id="rId591" Type="http://schemas.openxmlformats.org/officeDocument/2006/relationships/hyperlink" Target="https://pubmed.ncbi.nlm.nih.gov/32639291" TargetMode="External"/><Relationship Id="rId244" Type="http://schemas.openxmlformats.org/officeDocument/2006/relationships/hyperlink" Target="https://clinicaltrials.gov/study/NCT05030272" TargetMode="External"/><Relationship Id="rId689" Type="http://schemas.openxmlformats.org/officeDocument/2006/relationships/hyperlink" Target="https://pubmed.ncbi.nlm.nih.gov/34332374" TargetMode="External"/><Relationship Id="rId896" Type="http://schemas.openxmlformats.org/officeDocument/2006/relationships/hyperlink" Target="https://center6.umin.ac.jp/cgi-open-bin/ctr_e/ctr_view.cgi?recptno=R000049296" TargetMode="External"/><Relationship Id="rId1081" Type="http://schemas.openxmlformats.org/officeDocument/2006/relationships/hyperlink" Target="https://clinicaltrials.gov/study/NCT04436757" TargetMode="External"/><Relationship Id="rId451" Type="http://schemas.openxmlformats.org/officeDocument/2006/relationships/hyperlink" Target="https://clinicaltrials.gov/study/NCT06446856" TargetMode="External"/><Relationship Id="rId549" Type="http://schemas.openxmlformats.org/officeDocument/2006/relationships/hyperlink" Target="https://pubmed.ncbi.nlm.nih.gov/32007346" TargetMode="External"/><Relationship Id="rId756" Type="http://schemas.openxmlformats.org/officeDocument/2006/relationships/hyperlink" Target="https://pubmed.ncbi.nlm.nih.gov/35686351" TargetMode="External"/><Relationship Id="rId1179" Type="http://schemas.openxmlformats.org/officeDocument/2006/relationships/hyperlink" Target="https://clinicaltrials.gov/study/NCT05145413" TargetMode="External"/><Relationship Id="rId1386" Type="http://schemas.openxmlformats.org/officeDocument/2006/relationships/hyperlink" Target="https://pubmed.ncbi.nlm.nih.gov/30660574" TargetMode="External"/><Relationship Id="rId1593" Type="http://schemas.openxmlformats.org/officeDocument/2006/relationships/hyperlink" Target="https://pubmed.ncbi.nlm.nih.gov/34126426" TargetMode="External"/><Relationship Id="rId104" Type="http://schemas.openxmlformats.org/officeDocument/2006/relationships/hyperlink" Target="https://clinicaltrials.gov/study/NCT04038840" TargetMode="External"/><Relationship Id="rId311" Type="http://schemas.openxmlformats.org/officeDocument/2006/relationships/hyperlink" Target="https://clinicaltrials.gov/study/NCT05389345" TargetMode="External"/><Relationship Id="rId409" Type="http://schemas.openxmlformats.org/officeDocument/2006/relationships/hyperlink" Target="https://clinicaltrials.gov/study/NCT06067984" TargetMode="External"/><Relationship Id="rId963" Type="http://schemas.openxmlformats.org/officeDocument/2006/relationships/hyperlink" Target="https://jrct.niph.go.jp/en-latest-detail/jRCT1060220026" TargetMode="External"/><Relationship Id="rId1039" Type="http://schemas.openxmlformats.org/officeDocument/2006/relationships/hyperlink" Target="https://clinicaltrials.gov/study/NCT04147897" TargetMode="External"/><Relationship Id="rId1246" Type="http://schemas.openxmlformats.org/officeDocument/2006/relationships/hyperlink" Target="https://clinicaltrials.gov/study/NCT05511363" TargetMode="External"/><Relationship Id="rId1898" Type="http://schemas.openxmlformats.org/officeDocument/2006/relationships/hyperlink" Target="https://clinicaltrials.gov/study/NCT05416658" TargetMode="External"/><Relationship Id="rId92" Type="http://schemas.openxmlformats.org/officeDocument/2006/relationships/hyperlink" Target="https://clinicaltrials.gov/study/NCT04001114" TargetMode="External"/><Relationship Id="rId616" Type="http://schemas.openxmlformats.org/officeDocument/2006/relationships/hyperlink" Target="https://pubmed.ncbi.nlm.nih.gov/33002684" TargetMode="External"/><Relationship Id="rId823" Type="http://schemas.openxmlformats.org/officeDocument/2006/relationships/hyperlink" Target="https://pubmed.ncbi.nlm.nih.gov/37141764" TargetMode="External"/><Relationship Id="rId1453" Type="http://schemas.openxmlformats.org/officeDocument/2006/relationships/hyperlink" Target="https://pubmed.ncbi.nlm.nih.gov/31837056" TargetMode="External"/><Relationship Id="rId1660" Type="http://schemas.openxmlformats.org/officeDocument/2006/relationships/hyperlink" Target="https://pubmed.ncbi.nlm.nih.gov/35438649" TargetMode="External"/><Relationship Id="rId1758" Type="http://schemas.openxmlformats.org/officeDocument/2006/relationships/hyperlink" Target="https://pubmed.ncbi.nlm.nih.gov/37833590" TargetMode="External"/><Relationship Id="rId1106" Type="http://schemas.openxmlformats.org/officeDocument/2006/relationships/hyperlink" Target="https://clinicaltrials.gov/study/NCT04624243" TargetMode="External"/><Relationship Id="rId1313" Type="http://schemas.openxmlformats.org/officeDocument/2006/relationships/hyperlink" Target="https://clinicaltrials.gov/study/NCT05978921" TargetMode="External"/><Relationship Id="rId1520" Type="http://schemas.openxmlformats.org/officeDocument/2006/relationships/hyperlink" Target="https://pubmed.ncbi.nlm.nih.gov/32854568" TargetMode="External"/><Relationship Id="rId1618" Type="http://schemas.openxmlformats.org/officeDocument/2006/relationships/hyperlink" Target="https://pubmed.ncbi.nlm.nih.gov/34626144" TargetMode="External"/><Relationship Id="rId1825" Type="http://schemas.openxmlformats.org/officeDocument/2006/relationships/hyperlink" Target="https://center6.umin.ac.jp/cgi-open-bin/ctr_e/ctr_view.cgi?recptno=R000061356" TargetMode="External"/><Relationship Id="rId199" Type="http://schemas.openxmlformats.org/officeDocument/2006/relationships/hyperlink" Target="https://clinicaltrials.gov/study/NCT04709224" TargetMode="External"/><Relationship Id="rId266" Type="http://schemas.openxmlformats.org/officeDocument/2006/relationships/hyperlink" Target="https://clinicaltrials.gov/study/NCT05167396" TargetMode="External"/><Relationship Id="rId473" Type="http://schemas.openxmlformats.org/officeDocument/2006/relationships/hyperlink" Target="https://pubmed.ncbi.nlm.nih.gov/30790597" TargetMode="External"/><Relationship Id="rId680" Type="http://schemas.openxmlformats.org/officeDocument/2006/relationships/hyperlink" Target="https://pubmed.ncbi.nlm.nih.gov/34187420" TargetMode="External"/><Relationship Id="rId126" Type="http://schemas.openxmlformats.org/officeDocument/2006/relationships/hyperlink" Target="https://clinicaltrials.gov/study/NCT04159662" TargetMode="External"/><Relationship Id="rId333" Type="http://schemas.openxmlformats.org/officeDocument/2006/relationships/hyperlink" Target="https://clinicaltrials.gov/study/NCT05527210" TargetMode="External"/><Relationship Id="rId540" Type="http://schemas.openxmlformats.org/officeDocument/2006/relationships/hyperlink" Target="https://pubmed.ncbi.nlm.nih.gov/31847007" TargetMode="External"/><Relationship Id="rId778" Type="http://schemas.openxmlformats.org/officeDocument/2006/relationships/hyperlink" Target="https://pubmed.ncbi.nlm.nih.gov/36122444" TargetMode="External"/><Relationship Id="rId985" Type="http://schemas.openxmlformats.org/officeDocument/2006/relationships/hyperlink" Target="https://jrct.niph.go.jp/en-latest-detail/jRCTs041210019" TargetMode="External"/><Relationship Id="rId1170" Type="http://schemas.openxmlformats.org/officeDocument/2006/relationships/hyperlink" Target="https://clinicaltrials.gov/study/NCT05111548" TargetMode="External"/><Relationship Id="rId638" Type="http://schemas.openxmlformats.org/officeDocument/2006/relationships/hyperlink" Target="https://pubmed.ncbi.nlm.nih.gov/33340522" TargetMode="External"/><Relationship Id="rId845" Type="http://schemas.openxmlformats.org/officeDocument/2006/relationships/hyperlink" Target="https://pubmed.ncbi.nlm.nih.gov/37903861" TargetMode="External"/><Relationship Id="rId1030" Type="http://schemas.openxmlformats.org/officeDocument/2006/relationships/hyperlink" Target="https://clinicaltrials.gov/study/NCT04118127" TargetMode="External"/><Relationship Id="rId1268" Type="http://schemas.openxmlformats.org/officeDocument/2006/relationships/hyperlink" Target="https://clinicaltrials.gov/study/NCT05661448" TargetMode="External"/><Relationship Id="rId1475" Type="http://schemas.openxmlformats.org/officeDocument/2006/relationships/hyperlink" Target="https://pubmed.ncbi.nlm.nih.gov/32160422" TargetMode="External"/><Relationship Id="rId1682" Type="http://schemas.openxmlformats.org/officeDocument/2006/relationships/hyperlink" Target="https://pubmed.ncbi.nlm.nih.gov/35932309" TargetMode="External"/><Relationship Id="rId400" Type="http://schemas.openxmlformats.org/officeDocument/2006/relationships/hyperlink" Target="https://clinicaltrials.gov/study/NCT05995457" TargetMode="External"/><Relationship Id="rId705" Type="http://schemas.openxmlformats.org/officeDocument/2006/relationships/hyperlink" Target="https://pubmed.ncbi.nlm.nih.gov/34649083" TargetMode="External"/><Relationship Id="rId1128" Type="http://schemas.openxmlformats.org/officeDocument/2006/relationships/hyperlink" Target="https://clinicaltrials.gov/study/NCT04807530" TargetMode="External"/><Relationship Id="rId1335" Type="http://schemas.openxmlformats.org/officeDocument/2006/relationships/hyperlink" Target="https://clinicaltrials.gov/study/NCT06155695" TargetMode="External"/><Relationship Id="rId1542" Type="http://schemas.openxmlformats.org/officeDocument/2006/relationships/hyperlink" Target="https://pubmed.ncbi.nlm.nih.gov/33208710" TargetMode="External"/><Relationship Id="rId912" Type="http://schemas.openxmlformats.org/officeDocument/2006/relationships/hyperlink" Target="https://www.clinicaltrialsregister.eu/ctr-search/trial/2020-006062-36/IT" TargetMode="External"/><Relationship Id="rId1847" Type="http://schemas.openxmlformats.org/officeDocument/2006/relationships/hyperlink" Target="https://clinicaltrials.gov/study/NCT06562608" TargetMode="External"/><Relationship Id="rId41" Type="http://schemas.openxmlformats.org/officeDocument/2006/relationships/hyperlink" Target="https://jrct.niph.go.jp/en-latest-detail/jRCT1030220303" TargetMode="External"/><Relationship Id="rId1402" Type="http://schemas.openxmlformats.org/officeDocument/2006/relationships/hyperlink" Target="https://pubmed.ncbi.nlm.nih.gov/31298171" TargetMode="External"/><Relationship Id="rId1707" Type="http://schemas.openxmlformats.org/officeDocument/2006/relationships/hyperlink" Target="https://pubmed.ncbi.nlm.nih.gov/36475415" TargetMode="External"/><Relationship Id="rId190" Type="http://schemas.openxmlformats.org/officeDocument/2006/relationships/hyperlink" Target="https://clinicaltrials.gov/study/NCT04610697" TargetMode="External"/><Relationship Id="rId288" Type="http://schemas.openxmlformats.org/officeDocument/2006/relationships/hyperlink" Target="https://clinicaltrials.gov/study/NCT05296720" TargetMode="External"/><Relationship Id="rId1914" Type="http://schemas.openxmlformats.org/officeDocument/2006/relationships/hyperlink" Target="https://clinicaltrials.gov/study/NCT06515522" TargetMode="External"/><Relationship Id="rId495" Type="http://schemas.openxmlformats.org/officeDocument/2006/relationships/hyperlink" Target="https://pubmed.ncbi.nlm.nih.gov/31416745" TargetMode="External"/><Relationship Id="rId148" Type="http://schemas.openxmlformats.org/officeDocument/2006/relationships/hyperlink" Target="https://clinicaltrials.gov/study/NCT04309435" TargetMode="External"/><Relationship Id="rId355" Type="http://schemas.openxmlformats.org/officeDocument/2006/relationships/hyperlink" Target="https://clinicaltrials.gov/study/NCT05664594" TargetMode="External"/><Relationship Id="rId562" Type="http://schemas.openxmlformats.org/officeDocument/2006/relationships/hyperlink" Target="https://pubmed.ncbi.nlm.nih.gov/32180369" TargetMode="External"/><Relationship Id="rId1192" Type="http://schemas.openxmlformats.org/officeDocument/2006/relationships/hyperlink" Target="https://clinicaltrials.gov/study/NCT05227690" TargetMode="External"/><Relationship Id="rId215" Type="http://schemas.openxmlformats.org/officeDocument/2006/relationships/hyperlink" Target="https://clinicaltrials.gov/study/NCT04822883" TargetMode="External"/><Relationship Id="rId422" Type="http://schemas.openxmlformats.org/officeDocument/2006/relationships/hyperlink" Target="https://clinicaltrials.gov/study/NCT06159673" TargetMode="External"/><Relationship Id="rId867" Type="http://schemas.openxmlformats.org/officeDocument/2006/relationships/hyperlink" Target="https://pubmed.ncbi.nlm.nih.gov/38493362" TargetMode="External"/><Relationship Id="rId1052" Type="http://schemas.openxmlformats.org/officeDocument/2006/relationships/hyperlink" Target="https://clinicaltrials.gov/study/NCT04237155" TargetMode="External"/><Relationship Id="rId1497" Type="http://schemas.openxmlformats.org/officeDocument/2006/relationships/hyperlink" Target="https://pubmed.ncbi.nlm.nih.gov/32458107" TargetMode="External"/><Relationship Id="rId727" Type="http://schemas.openxmlformats.org/officeDocument/2006/relationships/hyperlink" Target="https://pubmed.ncbi.nlm.nih.gov/35032906" TargetMode="External"/><Relationship Id="rId934" Type="http://schemas.openxmlformats.org/officeDocument/2006/relationships/hyperlink" Target="https://drks.de/search/en/trial/DRKS00027316" TargetMode="External"/><Relationship Id="rId1357" Type="http://schemas.openxmlformats.org/officeDocument/2006/relationships/hyperlink" Target="https://clinicaltrials.gov/study/NCT06336616" TargetMode="External"/><Relationship Id="rId1564" Type="http://schemas.openxmlformats.org/officeDocument/2006/relationships/hyperlink" Target="https://pubmed.ncbi.nlm.nih.gov/33608711" TargetMode="External"/><Relationship Id="rId1771" Type="http://schemas.openxmlformats.org/officeDocument/2006/relationships/hyperlink" Target="https://pubmed.ncbi.nlm.nih.gov/38253334" TargetMode="External"/><Relationship Id="rId63" Type="http://schemas.openxmlformats.org/officeDocument/2006/relationships/hyperlink" Target="https://jrct.niph.go.jp/en-latest-detail/jRCTs031200338" TargetMode="External"/><Relationship Id="rId1217" Type="http://schemas.openxmlformats.org/officeDocument/2006/relationships/hyperlink" Target="https://clinicaltrials.gov/study/NCT05340348" TargetMode="External"/><Relationship Id="rId1424" Type="http://schemas.openxmlformats.org/officeDocument/2006/relationships/hyperlink" Target="https://pubmed.ncbi.nlm.nih.gov/31617873" TargetMode="External"/><Relationship Id="rId1631" Type="http://schemas.openxmlformats.org/officeDocument/2006/relationships/hyperlink" Target="https://pubmed.ncbi.nlm.nih.gov/34847501" TargetMode="External"/><Relationship Id="rId1869" Type="http://schemas.openxmlformats.org/officeDocument/2006/relationships/hyperlink" Target="https://pubmed.ncbi.nlm.nih.gov/31708380" TargetMode="External"/><Relationship Id="rId1729" Type="http://schemas.openxmlformats.org/officeDocument/2006/relationships/hyperlink" Target="https://pubmed.ncbi.nlm.nih.gov/36965364" TargetMode="External"/><Relationship Id="rId1936" Type="http://schemas.openxmlformats.org/officeDocument/2006/relationships/hyperlink" Target="https://pubmed.ncbi.nlm.nih.gov/35956935" TargetMode="External"/><Relationship Id="rId377" Type="http://schemas.openxmlformats.org/officeDocument/2006/relationships/hyperlink" Target="https://clinicaltrials.gov/study/NCT05824117" TargetMode="External"/><Relationship Id="rId584" Type="http://schemas.openxmlformats.org/officeDocument/2006/relationships/hyperlink" Target="https://pubmed.ncbi.nlm.nih.gov/32513424" TargetMode="External"/><Relationship Id="rId5" Type="http://schemas.openxmlformats.org/officeDocument/2006/relationships/hyperlink" Target="https://drks.de/search/en/trial/DRKS00019825" TargetMode="External"/><Relationship Id="rId237" Type="http://schemas.openxmlformats.org/officeDocument/2006/relationships/hyperlink" Target="https://clinicaltrials.gov/study/NCT04985786" TargetMode="External"/><Relationship Id="rId791" Type="http://schemas.openxmlformats.org/officeDocument/2006/relationships/hyperlink" Target="https://pubmed.ncbi.nlm.nih.gov/36468948" TargetMode="External"/><Relationship Id="rId889" Type="http://schemas.openxmlformats.org/officeDocument/2006/relationships/hyperlink" Target="https://center6.umin.ac.jp/cgi-open-bin/ctr_e/ctr_view.cgi?recptno=R000041477" TargetMode="External"/><Relationship Id="rId1074" Type="http://schemas.openxmlformats.org/officeDocument/2006/relationships/hyperlink" Target="https://clinicaltrials.gov/study/NCT04395157" TargetMode="External"/><Relationship Id="rId444" Type="http://schemas.openxmlformats.org/officeDocument/2006/relationships/hyperlink" Target="https://clinicaltrials.gov/study/NCT06361160" TargetMode="External"/><Relationship Id="rId651" Type="http://schemas.openxmlformats.org/officeDocument/2006/relationships/hyperlink" Target="https://pubmed.ncbi.nlm.nih.gov/33626254" TargetMode="External"/><Relationship Id="rId749" Type="http://schemas.openxmlformats.org/officeDocument/2006/relationships/hyperlink" Target="https://pubmed.ncbi.nlm.nih.gov/35552528" TargetMode="External"/><Relationship Id="rId1281" Type="http://schemas.openxmlformats.org/officeDocument/2006/relationships/hyperlink" Target="https://clinicaltrials.gov/study/NCT05741502" TargetMode="External"/><Relationship Id="rId1379" Type="http://schemas.openxmlformats.org/officeDocument/2006/relationships/hyperlink" Target="https://pubmed.ncbi.nlm.nih.gov/30278853" TargetMode="External"/><Relationship Id="rId1586" Type="http://schemas.openxmlformats.org/officeDocument/2006/relationships/hyperlink" Target="https://pubmed.ncbi.nlm.nih.gov/33963227" TargetMode="External"/><Relationship Id="rId304" Type="http://schemas.openxmlformats.org/officeDocument/2006/relationships/hyperlink" Target="https://clinicaltrials.gov/study/NCT05345184" TargetMode="External"/><Relationship Id="rId511" Type="http://schemas.openxmlformats.org/officeDocument/2006/relationships/hyperlink" Target="https://pubmed.ncbi.nlm.nih.gov/31634752" TargetMode="External"/><Relationship Id="rId609" Type="http://schemas.openxmlformats.org/officeDocument/2006/relationships/hyperlink" Target="https://pubmed.ncbi.nlm.nih.gov/32920492" TargetMode="External"/><Relationship Id="rId956" Type="http://schemas.openxmlformats.org/officeDocument/2006/relationships/hyperlink" Target="https://jrct.niph.go.jp/en-latest-detail/jRCT1030220303" TargetMode="External"/><Relationship Id="rId1141" Type="http://schemas.openxmlformats.org/officeDocument/2006/relationships/hyperlink" Target="https://clinicaltrials.gov/study/NCT04887792" TargetMode="External"/><Relationship Id="rId1239" Type="http://schemas.openxmlformats.org/officeDocument/2006/relationships/hyperlink" Target="https://clinicaltrials.gov/study/NCT05469815" TargetMode="External"/><Relationship Id="rId1793" Type="http://schemas.openxmlformats.org/officeDocument/2006/relationships/hyperlink" Target="https://pubmed.ncbi.nlm.nih.gov/38750386" TargetMode="External"/><Relationship Id="rId85" Type="http://schemas.openxmlformats.org/officeDocument/2006/relationships/hyperlink" Target="https://clinicaltrials.gov/study/NCT03959735" TargetMode="External"/><Relationship Id="rId816" Type="http://schemas.openxmlformats.org/officeDocument/2006/relationships/hyperlink" Target="https://pubmed.ncbi.nlm.nih.gov/37004331" TargetMode="External"/><Relationship Id="rId1001" Type="http://schemas.openxmlformats.org/officeDocument/2006/relationships/hyperlink" Target="https://clinicaltrials.gov/study/NCT03971487" TargetMode="External"/><Relationship Id="rId1446" Type="http://schemas.openxmlformats.org/officeDocument/2006/relationships/hyperlink" Target="https://pubmed.ncbi.nlm.nih.gov/31762390" TargetMode="External"/><Relationship Id="rId1653" Type="http://schemas.openxmlformats.org/officeDocument/2006/relationships/hyperlink" Target="https://pubmed.ncbi.nlm.nih.gov/35276079" TargetMode="External"/><Relationship Id="rId1860" Type="http://schemas.openxmlformats.org/officeDocument/2006/relationships/hyperlink" Target="https://clinicaltrials.gov/study/NCT06376734" TargetMode="External"/><Relationship Id="rId1306" Type="http://schemas.openxmlformats.org/officeDocument/2006/relationships/hyperlink" Target="https://clinicaltrials.gov/study/NCT05953740" TargetMode="External"/><Relationship Id="rId1513" Type="http://schemas.openxmlformats.org/officeDocument/2006/relationships/hyperlink" Target="https://pubmed.ncbi.nlm.nih.gov/32750572" TargetMode="External"/><Relationship Id="rId1720" Type="http://schemas.openxmlformats.org/officeDocument/2006/relationships/hyperlink" Target="https://pubmed.ncbi.nlm.nih.gov/36856480" TargetMode="External"/><Relationship Id="rId12" Type="http://schemas.openxmlformats.org/officeDocument/2006/relationships/hyperlink" Target="https://drks.de/search/en/trial/DRKS00024178" TargetMode="External"/><Relationship Id="rId1818" Type="http://schemas.openxmlformats.org/officeDocument/2006/relationships/hyperlink" Target="https://center6.umin.ac.jp/cgi-open-bin/ctr_e/ctr_view.cgi?recptno=R000054062" TargetMode="External"/><Relationship Id="rId161" Type="http://schemas.openxmlformats.org/officeDocument/2006/relationships/hyperlink" Target="https://clinicaltrials.gov/study/NCT04414215" TargetMode="External"/><Relationship Id="rId399" Type="http://schemas.openxmlformats.org/officeDocument/2006/relationships/hyperlink" Target="https://clinicaltrials.gov/study/NCT05980949" TargetMode="External"/><Relationship Id="rId259" Type="http://schemas.openxmlformats.org/officeDocument/2006/relationships/hyperlink" Target="https://clinicaltrials.gov/study/NCT05130853" TargetMode="External"/><Relationship Id="rId466" Type="http://schemas.openxmlformats.org/officeDocument/2006/relationships/hyperlink" Target="https://pubmed.ncbi.nlm.nih.gov/30346226" TargetMode="External"/><Relationship Id="rId673" Type="http://schemas.openxmlformats.org/officeDocument/2006/relationships/hyperlink" Target="https://pubmed.ncbi.nlm.nih.gov/33988924" TargetMode="External"/><Relationship Id="rId880" Type="http://schemas.openxmlformats.org/officeDocument/2006/relationships/hyperlink" Target="https://pubmed.ncbi.nlm.nih.gov/38806461" TargetMode="External"/><Relationship Id="rId1096" Type="http://schemas.openxmlformats.org/officeDocument/2006/relationships/hyperlink" Target="https://clinicaltrials.gov/study/NCT04567524" TargetMode="External"/><Relationship Id="rId119" Type="http://schemas.openxmlformats.org/officeDocument/2006/relationships/hyperlink" Target="https://clinicaltrials.gov/study/NCT04127058" TargetMode="External"/><Relationship Id="rId326" Type="http://schemas.openxmlformats.org/officeDocument/2006/relationships/hyperlink" Target="https://clinicaltrials.gov/study/NCT05480046" TargetMode="External"/><Relationship Id="rId533" Type="http://schemas.openxmlformats.org/officeDocument/2006/relationships/hyperlink" Target="https://pubmed.ncbi.nlm.nih.gov/31786651" TargetMode="External"/><Relationship Id="rId978" Type="http://schemas.openxmlformats.org/officeDocument/2006/relationships/hyperlink" Target="https://jrct.niph.go.jp/en-latest-detail/jRCTs031200338" TargetMode="External"/><Relationship Id="rId1163" Type="http://schemas.openxmlformats.org/officeDocument/2006/relationships/hyperlink" Target="https://clinicaltrials.gov/study/NCT05053451" TargetMode="External"/><Relationship Id="rId1370" Type="http://schemas.openxmlformats.org/officeDocument/2006/relationships/hyperlink" Target="https://clinicaltrials.gov/study/NCT06486948" TargetMode="External"/><Relationship Id="rId740" Type="http://schemas.openxmlformats.org/officeDocument/2006/relationships/hyperlink" Target="https://pubmed.ncbi.nlm.nih.gov/35277995" TargetMode="External"/><Relationship Id="rId838" Type="http://schemas.openxmlformats.org/officeDocument/2006/relationships/hyperlink" Target="https://pubmed.ncbi.nlm.nih.gov/37690312" TargetMode="External"/><Relationship Id="rId1023" Type="http://schemas.openxmlformats.org/officeDocument/2006/relationships/hyperlink" Target="https://clinicaltrials.gov/study/NCT04068467" TargetMode="External"/><Relationship Id="rId1468" Type="http://schemas.openxmlformats.org/officeDocument/2006/relationships/hyperlink" Target="https://pubmed.ncbi.nlm.nih.gov/32062728" TargetMode="External"/><Relationship Id="rId1675" Type="http://schemas.openxmlformats.org/officeDocument/2006/relationships/hyperlink" Target="https://pubmed.ncbi.nlm.nih.gov/35715740" TargetMode="External"/><Relationship Id="rId1882" Type="http://schemas.openxmlformats.org/officeDocument/2006/relationships/hyperlink" Target="https://pubmed.ncbi.nlm.nih.gov/32279541" TargetMode="External"/><Relationship Id="rId600" Type="http://schemas.openxmlformats.org/officeDocument/2006/relationships/hyperlink" Target="https://pubmed.ncbi.nlm.nih.gov/32790451" TargetMode="External"/><Relationship Id="rId1230" Type="http://schemas.openxmlformats.org/officeDocument/2006/relationships/hyperlink" Target="https://clinicaltrials.gov/study/NCT05414058" TargetMode="External"/><Relationship Id="rId1328" Type="http://schemas.openxmlformats.org/officeDocument/2006/relationships/hyperlink" Target="https://clinicaltrials.gov/study/NCT06107803" TargetMode="External"/><Relationship Id="rId1535" Type="http://schemas.openxmlformats.org/officeDocument/2006/relationships/hyperlink" Target="https://pubmed.ncbi.nlm.nih.gov/33108030" TargetMode="External"/><Relationship Id="rId905" Type="http://schemas.openxmlformats.org/officeDocument/2006/relationships/hyperlink" Target="https://center6.umin.ac.jp/cgi-open-bin/ctr_e/ctr_view.cgi?recptno=R000057777" TargetMode="External"/><Relationship Id="rId1742" Type="http://schemas.openxmlformats.org/officeDocument/2006/relationships/hyperlink" Target="https://pubmed.ncbi.nlm.nih.gov/37386572" TargetMode="External"/><Relationship Id="rId34" Type="http://schemas.openxmlformats.org/officeDocument/2006/relationships/hyperlink" Target="https://www.isrctn.com/ISRCTN56047723" TargetMode="External"/><Relationship Id="rId1602" Type="http://schemas.openxmlformats.org/officeDocument/2006/relationships/hyperlink" Target="https://pubmed.ncbi.nlm.nih.gov/34304146" TargetMode="External"/><Relationship Id="rId183" Type="http://schemas.openxmlformats.org/officeDocument/2006/relationships/hyperlink" Target="https://clinicaltrials.gov/study/NCT04578314" TargetMode="External"/><Relationship Id="rId390" Type="http://schemas.openxmlformats.org/officeDocument/2006/relationships/hyperlink" Target="https://clinicaltrials.gov/study/NCT05948111" TargetMode="External"/><Relationship Id="rId1907" Type="http://schemas.openxmlformats.org/officeDocument/2006/relationships/hyperlink" Target="https://clinicaltrials.gov/study/NCT06043778" TargetMode="External"/><Relationship Id="rId250" Type="http://schemas.openxmlformats.org/officeDocument/2006/relationships/hyperlink" Target="https://clinicaltrials.gov/study/NCT05102929" TargetMode="External"/><Relationship Id="rId488" Type="http://schemas.openxmlformats.org/officeDocument/2006/relationships/hyperlink" Target="https://pubmed.ncbi.nlm.nih.gov/31343440" TargetMode="External"/><Relationship Id="rId695" Type="http://schemas.openxmlformats.org/officeDocument/2006/relationships/hyperlink" Target="https://pubmed.ncbi.nlm.nih.gov/34470506" TargetMode="External"/><Relationship Id="rId110" Type="http://schemas.openxmlformats.org/officeDocument/2006/relationships/hyperlink" Target="https://clinicaltrials.gov/study/NCT04072354" TargetMode="External"/><Relationship Id="rId348" Type="http://schemas.openxmlformats.org/officeDocument/2006/relationships/hyperlink" Target="https://clinicaltrials.gov/study/NCT05648591" TargetMode="External"/><Relationship Id="rId555" Type="http://schemas.openxmlformats.org/officeDocument/2006/relationships/hyperlink" Target="https://pubmed.ncbi.nlm.nih.gov/32098946" TargetMode="External"/><Relationship Id="rId762" Type="http://schemas.openxmlformats.org/officeDocument/2006/relationships/hyperlink" Target="https://pubmed.ncbi.nlm.nih.gov/35759877" TargetMode="External"/><Relationship Id="rId1185" Type="http://schemas.openxmlformats.org/officeDocument/2006/relationships/hyperlink" Target="https://clinicaltrials.gov/study/NCT05185128" TargetMode="External"/><Relationship Id="rId1392" Type="http://schemas.openxmlformats.org/officeDocument/2006/relationships/hyperlink" Target="https://pubmed.ncbi.nlm.nih.gov/30912222" TargetMode="External"/><Relationship Id="rId208" Type="http://schemas.openxmlformats.org/officeDocument/2006/relationships/hyperlink" Target="https://clinicaltrials.gov/study/NCT04781179" TargetMode="External"/><Relationship Id="rId415" Type="http://schemas.openxmlformats.org/officeDocument/2006/relationships/hyperlink" Target="https://clinicaltrials.gov/study/NCT06126224" TargetMode="External"/><Relationship Id="rId622" Type="http://schemas.openxmlformats.org/officeDocument/2006/relationships/hyperlink" Target="https://pubmed.ncbi.nlm.nih.gov/33138708" TargetMode="External"/><Relationship Id="rId1045" Type="http://schemas.openxmlformats.org/officeDocument/2006/relationships/hyperlink" Target="https://clinicaltrials.gov/study/NCT04187560" TargetMode="External"/><Relationship Id="rId1252" Type="http://schemas.openxmlformats.org/officeDocument/2006/relationships/hyperlink" Target="https://clinicaltrials.gov/study/NCT05542264" TargetMode="External"/><Relationship Id="rId1697" Type="http://schemas.openxmlformats.org/officeDocument/2006/relationships/hyperlink" Target="https://pubmed.ncbi.nlm.nih.gov/36190440" TargetMode="External"/><Relationship Id="rId927" Type="http://schemas.openxmlformats.org/officeDocument/2006/relationships/hyperlink" Target="https://drks.de/search/en/trial/DRKS00024178" TargetMode="External"/><Relationship Id="rId1112" Type="http://schemas.openxmlformats.org/officeDocument/2006/relationships/hyperlink" Target="https://clinicaltrials.gov/study/NCT04681807" TargetMode="External"/><Relationship Id="rId1557" Type="http://schemas.openxmlformats.org/officeDocument/2006/relationships/hyperlink" Target="https://pubmed.ncbi.nlm.nih.gov/33434958" TargetMode="External"/><Relationship Id="rId1764" Type="http://schemas.openxmlformats.org/officeDocument/2006/relationships/hyperlink" Target="https://pubmed.ncbi.nlm.nih.gov/38084398" TargetMode="External"/><Relationship Id="rId56" Type="http://schemas.openxmlformats.org/officeDocument/2006/relationships/hyperlink" Target="https://jrct.niph.go.jp/en-latest-detail/jRCT2061210051" TargetMode="External"/><Relationship Id="rId1417" Type="http://schemas.openxmlformats.org/officeDocument/2006/relationships/hyperlink" Target="https://pubmed.ncbi.nlm.nih.gov/31486890" TargetMode="External"/><Relationship Id="rId1624" Type="http://schemas.openxmlformats.org/officeDocument/2006/relationships/hyperlink" Target="https://pubmed.ncbi.nlm.nih.gov/34700212" TargetMode="External"/><Relationship Id="rId1831" Type="http://schemas.openxmlformats.org/officeDocument/2006/relationships/hyperlink" Target="https://pubmed.ncbi.nlm.nih.gov/31706786" TargetMode="External"/><Relationship Id="rId1929" Type="http://schemas.openxmlformats.org/officeDocument/2006/relationships/hyperlink" Target="https://pubmed.ncbi.nlm.nih.gov/34059401" TargetMode="External"/><Relationship Id="rId272" Type="http://schemas.openxmlformats.org/officeDocument/2006/relationships/hyperlink" Target="https://clinicaltrials.gov/study/NCT05206292" TargetMode="External"/><Relationship Id="rId577" Type="http://schemas.openxmlformats.org/officeDocument/2006/relationships/hyperlink" Target="https://pubmed.ncbi.nlm.nih.gov/32401072" TargetMode="External"/><Relationship Id="rId132" Type="http://schemas.openxmlformats.org/officeDocument/2006/relationships/hyperlink" Target="https://clinicaltrials.gov/study/NCT04191876" TargetMode="External"/><Relationship Id="rId784" Type="http://schemas.openxmlformats.org/officeDocument/2006/relationships/hyperlink" Target="https://pubmed.ncbi.nlm.nih.gov/36347107" TargetMode="External"/><Relationship Id="rId991" Type="http://schemas.openxmlformats.org/officeDocument/2006/relationships/hyperlink" Target="https://clinicaltrials.gov/study/NCT03708315" TargetMode="External"/><Relationship Id="rId1067" Type="http://schemas.openxmlformats.org/officeDocument/2006/relationships/hyperlink" Target="https://clinicaltrials.gov/study/NCT04324944" TargetMode="External"/><Relationship Id="rId437" Type="http://schemas.openxmlformats.org/officeDocument/2006/relationships/hyperlink" Target="https://clinicaltrials.gov/study/NCT06278246" TargetMode="External"/><Relationship Id="rId644" Type="http://schemas.openxmlformats.org/officeDocument/2006/relationships/hyperlink" Target="https://pubmed.ncbi.nlm.nih.gov/33484269" TargetMode="External"/><Relationship Id="rId851" Type="http://schemas.openxmlformats.org/officeDocument/2006/relationships/hyperlink" Target="https://pubmed.ncbi.nlm.nih.gov/38157711" TargetMode="External"/><Relationship Id="rId1274" Type="http://schemas.openxmlformats.org/officeDocument/2006/relationships/hyperlink" Target="https://clinicaltrials.gov/study/NCT05698589" TargetMode="External"/><Relationship Id="rId1481" Type="http://schemas.openxmlformats.org/officeDocument/2006/relationships/hyperlink" Target="https://pubmed.ncbi.nlm.nih.gov/32250132" TargetMode="External"/><Relationship Id="rId1579" Type="http://schemas.openxmlformats.org/officeDocument/2006/relationships/hyperlink" Target="https://pubmed.ncbi.nlm.nih.gov/33858488" TargetMode="External"/><Relationship Id="rId504" Type="http://schemas.openxmlformats.org/officeDocument/2006/relationships/hyperlink" Target="https://pubmed.ncbi.nlm.nih.gov/31494376" TargetMode="External"/><Relationship Id="rId711" Type="http://schemas.openxmlformats.org/officeDocument/2006/relationships/hyperlink" Target="https://pubmed.ncbi.nlm.nih.gov/34766787" TargetMode="External"/><Relationship Id="rId949" Type="http://schemas.openxmlformats.org/officeDocument/2006/relationships/hyperlink" Target="https://www.isrctn.com/ISRCTN56047723" TargetMode="External"/><Relationship Id="rId1134" Type="http://schemas.openxmlformats.org/officeDocument/2006/relationships/hyperlink" Target="https://clinicaltrials.gov/study/NCT04856657" TargetMode="External"/><Relationship Id="rId1341" Type="http://schemas.openxmlformats.org/officeDocument/2006/relationships/hyperlink" Target="https://clinicaltrials.gov/study/NCT06194799" TargetMode="External"/><Relationship Id="rId1786" Type="http://schemas.openxmlformats.org/officeDocument/2006/relationships/hyperlink" Target="https://pubmed.ncbi.nlm.nih.gov/38547601" TargetMode="External"/><Relationship Id="rId78" Type="http://schemas.openxmlformats.org/officeDocument/2006/relationships/hyperlink" Target="https://clinicaltrials.gov/study/NCT03818256" TargetMode="External"/><Relationship Id="rId809" Type="http://schemas.openxmlformats.org/officeDocument/2006/relationships/hyperlink" Target="https://pubmed.ncbi.nlm.nih.gov/36927273" TargetMode="External"/><Relationship Id="rId1201" Type="http://schemas.openxmlformats.org/officeDocument/2006/relationships/hyperlink" Target="https://clinicaltrials.gov/study/NCT05281640" TargetMode="External"/><Relationship Id="rId1439" Type="http://schemas.openxmlformats.org/officeDocument/2006/relationships/hyperlink" Target="https://pubmed.ncbi.nlm.nih.gov/31712617" TargetMode="External"/><Relationship Id="rId1646" Type="http://schemas.openxmlformats.org/officeDocument/2006/relationships/hyperlink" Target="https://pubmed.ncbi.nlm.nih.gov/35176740" TargetMode="External"/><Relationship Id="rId1853" Type="http://schemas.openxmlformats.org/officeDocument/2006/relationships/hyperlink" Target="https://clinicaltrials.gov/study/NCT04248010" TargetMode="External"/><Relationship Id="rId1506" Type="http://schemas.openxmlformats.org/officeDocument/2006/relationships/hyperlink" Target="https://pubmed.ncbi.nlm.nih.gov/32639291" TargetMode="External"/><Relationship Id="rId1713" Type="http://schemas.openxmlformats.org/officeDocument/2006/relationships/hyperlink" Target="https://pubmed.ncbi.nlm.nih.gov/36692909" TargetMode="External"/><Relationship Id="rId1920" Type="http://schemas.openxmlformats.org/officeDocument/2006/relationships/hyperlink" Target="https://pubmed.ncbi.nlm.nih.gov/31587995" TargetMode="External"/><Relationship Id="rId294" Type="http://schemas.openxmlformats.org/officeDocument/2006/relationships/hyperlink" Target="https://clinicaltrials.gov/study/NCT05321602" TargetMode="External"/><Relationship Id="rId154" Type="http://schemas.openxmlformats.org/officeDocument/2006/relationships/hyperlink" Target="https://clinicaltrials.gov/study/NCT04325737" TargetMode="External"/><Relationship Id="rId361" Type="http://schemas.openxmlformats.org/officeDocument/2006/relationships/hyperlink" Target="https://clinicaltrials.gov/study/NCT05703698" TargetMode="External"/><Relationship Id="rId599" Type="http://schemas.openxmlformats.org/officeDocument/2006/relationships/hyperlink" Target="https://pubmed.ncbi.nlm.nih.gov/32763112" TargetMode="External"/><Relationship Id="rId459" Type="http://schemas.openxmlformats.org/officeDocument/2006/relationships/hyperlink" Target="https://clinicaltrials.gov/study/NCT06527885" TargetMode="External"/><Relationship Id="rId666" Type="http://schemas.openxmlformats.org/officeDocument/2006/relationships/hyperlink" Target="https://pubmed.ncbi.nlm.nih.gov/33895598" TargetMode="External"/><Relationship Id="rId873" Type="http://schemas.openxmlformats.org/officeDocument/2006/relationships/hyperlink" Target="https://pubmed.ncbi.nlm.nih.gov/38644296" TargetMode="External"/><Relationship Id="rId1089" Type="http://schemas.openxmlformats.org/officeDocument/2006/relationships/hyperlink" Target="https://clinicaltrials.gov/study/NCT04510298" TargetMode="External"/><Relationship Id="rId1296" Type="http://schemas.openxmlformats.org/officeDocument/2006/relationships/hyperlink" Target="https://clinicaltrials.gov/study/NCT05848700" TargetMode="External"/><Relationship Id="rId221" Type="http://schemas.openxmlformats.org/officeDocument/2006/relationships/hyperlink" Target="https://clinicaltrials.gov/study/NCT04860830" TargetMode="External"/><Relationship Id="rId319" Type="http://schemas.openxmlformats.org/officeDocument/2006/relationships/hyperlink" Target="https://clinicaltrials.gov/study/NCT05443724" TargetMode="External"/><Relationship Id="rId526" Type="http://schemas.openxmlformats.org/officeDocument/2006/relationships/hyperlink" Target="https://pubmed.ncbi.nlm.nih.gov/31728631" TargetMode="External"/><Relationship Id="rId1156" Type="http://schemas.openxmlformats.org/officeDocument/2006/relationships/hyperlink" Target="https://clinicaltrials.gov/study/NCT05017532" TargetMode="External"/><Relationship Id="rId1363" Type="http://schemas.openxmlformats.org/officeDocument/2006/relationships/hyperlink" Target="https://clinicaltrials.gov/study/NCT06386588" TargetMode="External"/><Relationship Id="rId733" Type="http://schemas.openxmlformats.org/officeDocument/2006/relationships/hyperlink" Target="https://pubmed.ncbi.nlm.nih.gov/35182906" TargetMode="External"/><Relationship Id="rId940" Type="http://schemas.openxmlformats.org/officeDocument/2006/relationships/hyperlink" Target="https://drks.de/search/en/trial/DRKS00032316" TargetMode="External"/><Relationship Id="rId1016" Type="http://schemas.openxmlformats.org/officeDocument/2006/relationships/hyperlink" Target="https://clinicaltrials.gov/study/NCT04030143" TargetMode="External"/><Relationship Id="rId1570" Type="http://schemas.openxmlformats.org/officeDocument/2006/relationships/hyperlink" Target="https://pubmed.ncbi.nlm.nih.gov/33735740" TargetMode="External"/><Relationship Id="rId1668" Type="http://schemas.openxmlformats.org/officeDocument/2006/relationships/hyperlink" Target="https://pubmed.ncbi.nlm.nih.gov/35634965" TargetMode="External"/><Relationship Id="rId1875" Type="http://schemas.openxmlformats.org/officeDocument/2006/relationships/hyperlink" Target="https://pubmed.ncbi.nlm.nih.gov/32966585" TargetMode="External"/><Relationship Id="rId800" Type="http://schemas.openxmlformats.org/officeDocument/2006/relationships/hyperlink" Target="https://pubmed.ncbi.nlm.nih.gov/36720576" TargetMode="External"/><Relationship Id="rId1223" Type="http://schemas.openxmlformats.org/officeDocument/2006/relationships/hyperlink" Target="https://clinicaltrials.gov/study/NCT05352568" TargetMode="External"/><Relationship Id="rId1430" Type="http://schemas.openxmlformats.org/officeDocument/2006/relationships/hyperlink" Target="https://pubmed.ncbi.nlm.nih.gov/31651213" TargetMode="External"/><Relationship Id="rId1528" Type="http://schemas.openxmlformats.org/officeDocument/2006/relationships/hyperlink" Target="https://pubmed.ncbi.nlm.nih.gov/32945774" TargetMode="External"/><Relationship Id="rId1735" Type="http://schemas.openxmlformats.org/officeDocument/2006/relationships/hyperlink" Target="https://pubmed.ncbi.nlm.nih.gov/37028258" TargetMode="External"/><Relationship Id="rId1942" Type="http://schemas.openxmlformats.org/officeDocument/2006/relationships/hyperlink" Target="https://pubmed.ncbi.nlm.nih.gov/38941338" TargetMode="External"/><Relationship Id="rId27" Type="http://schemas.openxmlformats.org/officeDocument/2006/relationships/hyperlink" Target="https://drks.de/search/en/trial/DRKS00034544" TargetMode="External"/><Relationship Id="rId1802" Type="http://schemas.openxmlformats.org/officeDocument/2006/relationships/hyperlink" Target="https://center6.umin.ac.jp/cgi-open-bin/ctr_e/ctr_view.cgi?recptno=R000042506" TargetMode="External"/><Relationship Id="rId176" Type="http://schemas.openxmlformats.org/officeDocument/2006/relationships/hyperlink" Target="https://clinicaltrials.gov/study/NCT04524403" TargetMode="External"/><Relationship Id="rId383" Type="http://schemas.openxmlformats.org/officeDocument/2006/relationships/hyperlink" Target="https://clinicaltrials.gov/study/NCT05866328" TargetMode="External"/><Relationship Id="rId590" Type="http://schemas.openxmlformats.org/officeDocument/2006/relationships/hyperlink" Target="https://pubmed.ncbi.nlm.nih.gov/32633541" TargetMode="External"/><Relationship Id="rId243" Type="http://schemas.openxmlformats.org/officeDocument/2006/relationships/hyperlink" Target="https://clinicaltrials.gov/study/NCT05025605" TargetMode="External"/><Relationship Id="rId450" Type="http://schemas.openxmlformats.org/officeDocument/2006/relationships/hyperlink" Target="https://clinicaltrials.gov/study/NCT06423651" TargetMode="External"/><Relationship Id="rId688" Type="http://schemas.openxmlformats.org/officeDocument/2006/relationships/hyperlink" Target="https://pubmed.ncbi.nlm.nih.gov/34309576" TargetMode="External"/><Relationship Id="rId895" Type="http://schemas.openxmlformats.org/officeDocument/2006/relationships/hyperlink" Target="https://center6.umin.ac.jp/cgi-open-bin/ctr_e/ctr_view.cgi?recptno=R000048804" TargetMode="External"/><Relationship Id="rId1080" Type="http://schemas.openxmlformats.org/officeDocument/2006/relationships/hyperlink" Target="https://clinicaltrials.gov/study/NCT04421456" TargetMode="External"/><Relationship Id="rId103" Type="http://schemas.openxmlformats.org/officeDocument/2006/relationships/hyperlink" Target="https://clinicaltrials.gov/study/NCT04033978" TargetMode="External"/><Relationship Id="rId310" Type="http://schemas.openxmlformats.org/officeDocument/2006/relationships/hyperlink" Target="https://clinicaltrials.gov/study/NCT05368558" TargetMode="External"/><Relationship Id="rId548" Type="http://schemas.openxmlformats.org/officeDocument/2006/relationships/hyperlink" Target="https://pubmed.ncbi.nlm.nih.gov/31996174" TargetMode="External"/><Relationship Id="rId755" Type="http://schemas.openxmlformats.org/officeDocument/2006/relationships/hyperlink" Target="https://pubmed.ncbi.nlm.nih.gov/35639493" TargetMode="External"/><Relationship Id="rId962" Type="http://schemas.openxmlformats.org/officeDocument/2006/relationships/hyperlink" Target="https://jrct.niph.go.jp/en-latest-detail/jRCT1050220083" TargetMode="External"/><Relationship Id="rId1178" Type="http://schemas.openxmlformats.org/officeDocument/2006/relationships/hyperlink" Target="https://clinicaltrials.gov/study/NCT05142735" TargetMode="External"/><Relationship Id="rId1385" Type="http://schemas.openxmlformats.org/officeDocument/2006/relationships/hyperlink" Target="https://pubmed.ncbi.nlm.nih.gov/30606273" TargetMode="External"/><Relationship Id="rId1592" Type="http://schemas.openxmlformats.org/officeDocument/2006/relationships/hyperlink" Target="https://pubmed.ncbi.nlm.nih.gov/34112279" TargetMode="External"/><Relationship Id="rId91" Type="http://schemas.openxmlformats.org/officeDocument/2006/relationships/hyperlink" Target="https://clinicaltrials.gov/study/NCT03999112" TargetMode="External"/><Relationship Id="rId408" Type="http://schemas.openxmlformats.org/officeDocument/2006/relationships/hyperlink" Target="https://clinicaltrials.gov/study/NCT06061952" TargetMode="External"/><Relationship Id="rId615" Type="http://schemas.openxmlformats.org/officeDocument/2006/relationships/hyperlink" Target="https://pubmed.ncbi.nlm.nih.gov/32981534" TargetMode="External"/><Relationship Id="rId822" Type="http://schemas.openxmlformats.org/officeDocument/2006/relationships/hyperlink" Target="https://pubmed.ncbi.nlm.nih.gov/37118058" TargetMode="External"/><Relationship Id="rId1038" Type="http://schemas.openxmlformats.org/officeDocument/2006/relationships/hyperlink" Target="https://clinicaltrials.gov/study/NCT04143126" TargetMode="External"/><Relationship Id="rId1245" Type="http://schemas.openxmlformats.org/officeDocument/2006/relationships/hyperlink" Target="https://clinicaltrials.gov/study/NCT05491538" TargetMode="External"/><Relationship Id="rId1452" Type="http://schemas.openxmlformats.org/officeDocument/2006/relationships/hyperlink" Target="https://pubmed.ncbi.nlm.nih.gov/31836507" TargetMode="External"/><Relationship Id="rId1897" Type="http://schemas.openxmlformats.org/officeDocument/2006/relationships/hyperlink" Target="https://clinicaltrials.gov/study/NCT04798131" TargetMode="External"/><Relationship Id="rId1105" Type="http://schemas.openxmlformats.org/officeDocument/2006/relationships/hyperlink" Target="https://clinicaltrials.gov/study/NCT04610697" TargetMode="External"/><Relationship Id="rId1312" Type="http://schemas.openxmlformats.org/officeDocument/2006/relationships/hyperlink" Target="https://clinicaltrials.gov/study/NCT05973110" TargetMode="External"/><Relationship Id="rId1757" Type="http://schemas.openxmlformats.org/officeDocument/2006/relationships/hyperlink" Target="https://pubmed.ncbi.nlm.nih.gov/37778356" TargetMode="External"/><Relationship Id="rId49" Type="http://schemas.openxmlformats.org/officeDocument/2006/relationships/hyperlink" Target="https://jrct.niph.go.jp/en-latest-detail/jRCT1060240011" TargetMode="External"/><Relationship Id="rId1617" Type="http://schemas.openxmlformats.org/officeDocument/2006/relationships/hyperlink" Target="https://pubmed.ncbi.nlm.nih.gov/34625041" TargetMode="External"/><Relationship Id="rId1824" Type="http://schemas.openxmlformats.org/officeDocument/2006/relationships/hyperlink" Target="https://center6.umin.ac.jp/cgi-open-bin/ctr_e/ctr_view.cgi?recptno=R000059317" TargetMode="External"/><Relationship Id="rId198" Type="http://schemas.openxmlformats.org/officeDocument/2006/relationships/hyperlink" Target="https://clinicaltrials.gov/study/NCT04689867" TargetMode="External"/><Relationship Id="rId265" Type="http://schemas.openxmlformats.org/officeDocument/2006/relationships/hyperlink" Target="https://clinicaltrials.gov/study/NCT05157620" TargetMode="External"/><Relationship Id="rId472" Type="http://schemas.openxmlformats.org/officeDocument/2006/relationships/hyperlink" Target="https://pubmed.ncbi.nlm.nih.gov/30777584" TargetMode="External"/><Relationship Id="rId125" Type="http://schemas.openxmlformats.org/officeDocument/2006/relationships/hyperlink" Target="https://clinicaltrials.gov/study/NCT04158687" TargetMode="External"/><Relationship Id="rId332" Type="http://schemas.openxmlformats.org/officeDocument/2006/relationships/hyperlink" Target="https://clinicaltrials.gov/study/NCT05526833" TargetMode="External"/><Relationship Id="rId777" Type="http://schemas.openxmlformats.org/officeDocument/2006/relationships/hyperlink" Target="https://pubmed.ncbi.nlm.nih.gov/36115192" TargetMode="External"/><Relationship Id="rId984" Type="http://schemas.openxmlformats.org/officeDocument/2006/relationships/hyperlink" Target="https://jrct.niph.go.jp/en-latest-detail/jRCTs032220691" TargetMode="External"/><Relationship Id="rId637" Type="http://schemas.openxmlformats.org/officeDocument/2006/relationships/hyperlink" Target="https://pubmed.ncbi.nlm.nih.gov/33326711" TargetMode="External"/><Relationship Id="rId844" Type="http://schemas.openxmlformats.org/officeDocument/2006/relationships/hyperlink" Target="https://pubmed.ncbi.nlm.nih.gov/37857138" TargetMode="External"/><Relationship Id="rId1267" Type="http://schemas.openxmlformats.org/officeDocument/2006/relationships/hyperlink" Target="https://clinicaltrials.gov/study/NCT05660070" TargetMode="External"/><Relationship Id="rId1474" Type="http://schemas.openxmlformats.org/officeDocument/2006/relationships/hyperlink" Target="https://pubmed.ncbi.nlm.nih.gov/32141724" TargetMode="External"/><Relationship Id="rId1681" Type="http://schemas.openxmlformats.org/officeDocument/2006/relationships/hyperlink" Target="https://pubmed.ncbi.nlm.nih.gov/35921506" TargetMode="External"/><Relationship Id="rId704" Type="http://schemas.openxmlformats.org/officeDocument/2006/relationships/hyperlink" Target="https://pubmed.ncbi.nlm.nih.gov/34633280" TargetMode="External"/><Relationship Id="rId911" Type="http://schemas.openxmlformats.org/officeDocument/2006/relationships/hyperlink" Target="https://center6.umin.ac.jp/cgi-open-bin/ctr_e/ctr_view.cgi?recptno=R000062009" TargetMode="External"/><Relationship Id="rId1127" Type="http://schemas.openxmlformats.org/officeDocument/2006/relationships/hyperlink" Target="https://clinicaltrials.gov/study/NCT04799717" TargetMode="External"/><Relationship Id="rId1334" Type="http://schemas.openxmlformats.org/officeDocument/2006/relationships/hyperlink" Target="https://clinicaltrials.gov/study/NCT06142422" TargetMode="External"/><Relationship Id="rId1541" Type="http://schemas.openxmlformats.org/officeDocument/2006/relationships/hyperlink" Target="https://pubmed.ncbi.nlm.nih.gov/33203954" TargetMode="External"/><Relationship Id="rId1779" Type="http://schemas.openxmlformats.org/officeDocument/2006/relationships/hyperlink" Target="https://pubmed.ncbi.nlm.nih.gov/38416865" TargetMode="External"/><Relationship Id="rId40" Type="http://schemas.openxmlformats.org/officeDocument/2006/relationships/hyperlink" Target="https://jrct.niph.go.jp/en-latest-detail/jRCT1030210661" TargetMode="External"/><Relationship Id="rId1401" Type="http://schemas.openxmlformats.org/officeDocument/2006/relationships/hyperlink" Target="https://pubmed.ncbi.nlm.nih.gov/31264510" TargetMode="External"/><Relationship Id="rId1639" Type="http://schemas.openxmlformats.org/officeDocument/2006/relationships/hyperlink" Target="https://pubmed.ncbi.nlm.nih.gov/34989824" TargetMode="External"/><Relationship Id="rId1846" Type="http://schemas.openxmlformats.org/officeDocument/2006/relationships/hyperlink" Target="https://clinicaltrials.gov/study/NCT06375902" TargetMode="External"/><Relationship Id="rId1706" Type="http://schemas.openxmlformats.org/officeDocument/2006/relationships/hyperlink" Target="https://pubmed.ncbi.nlm.nih.gov/36468948" TargetMode="External"/><Relationship Id="rId1913" Type="http://schemas.openxmlformats.org/officeDocument/2006/relationships/hyperlink" Target="https://clinicaltrials.gov/study/NCT06484387" TargetMode="External"/><Relationship Id="rId287" Type="http://schemas.openxmlformats.org/officeDocument/2006/relationships/hyperlink" Target="https://clinicaltrials.gov/study/NCT05282186" TargetMode="External"/><Relationship Id="rId494" Type="http://schemas.openxmlformats.org/officeDocument/2006/relationships/hyperlink" Target="https://pubmed.ncbi.nlm.nih.gov/31416744" TargetMode="External"/><Relationship Id="rId147" Type="http://schemas.openxmlformats.org/officeDocument/2006/relationships/hyperlink" Target="https://clinicaltrials.gov/study/NCT04309370" TargetMode="External"/><Relationship Id="rId354" Type="http://schemas.openxmlformats.org/officeDocument/2006/relationships/hyperlink" Target="https://clinicaltrials.gov/study/NCT05662306" TargetMode="External"/><Relationship Id="rId799" Type="http://schemas.openxmlformats.org/officeDocument/2006/relationships/hyperlink" Target="https://pubmed.ncbi.nlm.nih.gov/36716759" TargetMode="External"/><Relationship Id="rId1191" Type="http://schemas.openxmlformats.org/officeDocument/2006/relationships/hyperlink" Target="https://clinicaltrials.gov/study/NCT05227118" TargetMode="External"/><Relationship Id="rId561" Type="http://schemas.openxmlformats.org/officeDocument/2006/relationships/hyperlink" Target="https://pubmed.ncbi.nlm.nih.gov/32169403" TargetMode="External"/><Relationship Id="rId659" Type="http://schemas.openxmlformats.org/officeDocument/2006/relationships/hyperlink" Target="https://pubmed.ncbi.nlm.nih.gov/33839372" TargetMode="External"/><Relationship Id="rId866" Type="http://schemas.openxmlformats.org/officeDocument/2006/relationships/hyperlink" Target="https://pubmed.ncbi.nlm.nih.gov/38453003" TargetMode="External"/><Relationship Id="rId1289" Type="http://schemas.openxmlformats.org/officeDocument/2006/relationships/hyperlink" Target="https://clinicaltrials.gov/study/NCT05805397" TargetMode="External"/><Relationship Id="rId1496" Type="http://schemas.openxmlformats.org/officeDocument/2006/relationships/hyperlink" Target="https://pubmed.ncbi.nlm.nih.gov/32450497" TargetMode="External"/><Relationship Id="rId214" Type="http://schemas.openxmlformats.org/officeDocument/2006/relationships/hyperlink" Target="https://clinicaltrials.gov/study/NCT04820309" TargetMode="External"/><Relationship Id="rId421" Type="http://schemas.openxmlformats.org/officeDocument/2006/relationships/hyperlink" Target="https://clinicaltrials.gov/study/NCT06159322" TargetMode="External"/><Relationship Id="rId519" Type="http://schemas.openxmlformats.org/officeDocument/2006/relationships/hyperlink" Target="https://pubmed.ncbi.nlm.nih.gov/31685285" TargetMode="External"/><Relationship Id="rId1051" Type="http://schemas.openxmlformats.org/officeDocument/2006/relationships/hyperlink" Target="https://clinicaltrials.gov/study/NCT04226898" TargetMode="External"/><Relationship Id="rId1149" Type="http://schemas.openxmlformats.org/officeDocument/2006/relationships/hyperlink" Target="https://clinicaltrials.gov/study/NCT04959032" TargetMode="External"/><Relationship Id="rId1356" Type="http://schemas.openxmlformats.org/officeDocument/2006/relationships/hyperlink" Target="https://clinicaltrials.gov/study/NCT06336382" TargetMode="External"/><Relationship Id="rId726" Type="http://schemas.openxmlformats.org/officeDocument/2006/relationships/hyperlink" Target="https://pubmed.ncbi.nlm.nih.gov/35012696" TargetMode="External"/><Relationship Id="rId933" Type="http://schemas.openxmlformats.org/officeDocument/2006/relationships/hyperlink" Target="https://drks.de/search/en/trial/DRKS00027002" TargetMode="External"/><Relationship Id="rId1009" Type="http://schemas.openxmlformats.org/officeDocument/2006/relationships/hyperlink" Target="https://clinicaltrials.gov/study/NCT04004416" TargetMode="External"/><Relationship Id="rId1563" Type="http://schemas.openxmlformats.org/officeDocument/2006/relationships/hyperlink" Target="https://pubmed.ncbi.nlm.nih.gov/33603385" TargetMode="External"/><Relationship Id="rId1770" Type="http://schemas.openxmlformats.org/officeDocument/2006/relationships/hyperlink" Target="https://pubmed.ncbi.nlm.nih.gov/38237358" TargetMode="External"/><Relationship Id="rId1868" Type="http://schemas.openxmlformats.org/officeDocument/2006/relationships/hyperlink" Target="https://www.clinicaltrialsregister.eu/ctr-search/trial/2022-001515-10/ES" TargetMode="External"/><Relationship Id="rId62" Type="http://schemas.openxmlformats.org/officeDocument/2006/relationships/hyperlink" Target="https://jrct.niph.go.jp/en-latest-detail/jRCTs031200258" TargetMode="External"/><Relationship Id="rId1216" Type="http://schemas.openxmlformats.org/officeDocument/2006/relationships/hyperlink" Target="https://clinicaltrials.gov/study/NCT05338424" TargetMode="External"/><Relationship Id="rId1423" Type="http://schemas.openxmlformats.org/officeDocument/2006/relationships/hyperlink" Target="https://pubmed.ncbi.nlm.nih.gov/31617138" TargetMode="External"/><Relationship Id="rId1630" Type="http://schemas.openxmlformats.org/officeDocument/2006/relationships/hyperlink" Target="https://pubmed.ncbi.nlm.nih.gov/34839074" TargetMode="External"/><Relationship Id="rId1728" Type="http://schemas.openxmlformats.org/officeDocument/2006/relationships/hyperlink" Target="https://pubmed.ncbi.nlm.nih.gov/36958998" TargetMode="External"/><Relationship Id="rId1935" Type="http://schemas.openxmlformats.org/officeDocument/2006/relationships/hyperlink" Target="https://pubmed.ncbi.nlm.nih.gov/35277387" TargetMode="External"/><Relationship Id="rId169" Type="http://schemas.openxmlformats.org/officeDocument/2006/relationships/hyperlink" Target="https://clinicaltrials.gov/study/NCT04461119" TargetMode="External"/><Relationship Id="rId376" Type="http://schemas.openxmlformats.org/officeDocument/2006/relationships/hyperlink" Target="https://clinicaltrials.gov/study/NCT05823532" TargetMode="External"/><Relationship Id="rId583" Type="http://schemas.openxmlformats.org/officeDocument/2006/relationships/hyperlink" Target="https://pubmed.ncbi.nlm.nih.gov/32483253" TargetMode="External"/><Relationship Id="rId790" Type="http://schemas.openxmlformats.org/officeDocument/2006/relationships/hyperlink" Target="https://pubmed.ncbi.nlm.nih.gov/36463724" TargetMode="External"/><Relationship Id="rId4" Type="http://schemas.openxmlformats.org/officeDocument/2006/relationships/hyperlink" Target="https://drks.de/search/en/trial/DRKS00019079" TargetMode="External"/><Relationship Id="rId236" Type="http://schemas.openxmlformats.org/officeDocument/2006/relationships/hyperlink" Target="https://clinicaltrials.gov/study/NCT04972227" TargetMode="External"/><Relationship Id="rId443" Type="http://schemas.openxmlformats.org/officeDocument/2006/relationships/hyperlink" Target="https://clinicaltrials.gov/study/NCT06345963" TargetMode="External"/><Relationship Id="rId650" Type="http://schemas.openxmlformats.org/officeDocument/2006/relationships/hyperlink" Target="https://pubmed.ncbi.nlm.nih.gov/33610228" TargetMode="External"/><Relationship Id="rId888" Type="http://schemas.openxmlformats.org/officeDocument/2006/relationships/hyperlink" Target="https://center6.umin.ac.jp/cgi-open-bin/ctr_e/ctr_view.cgi?recptno=R000042960" TargetMode="External"/><Relationship Id="rId1073" Type="http://schemas.openxmlformats.org/officeDocument/2006/relationships/hyperlink" Target="https://clinicaltrials.gov/study/NCT04370730" TargetMode="External"/><Relationship Id="rId1280" Type="http://schemas.openxmlformats.org/officeDocument/2006/relationships/hyperlink" Target="https://clinicaltrials.gov/study/NCT05724953" TargetMode="External"/><Relationship Id="rId303" Type="http://schemas.openxmlformats.org/officeDocument/2006/relationships/hyperlink" Target="https://clinicaltrials.gov/study/NCT05343598" TargetMode="External"/><Relationship Id="rId748" Type="http://schemas.openxmlformats.org/officeDocument/2006/relationships/hyperlink" Target="https://pubmed.ncbi.nlm.nih.gov/35526293" TargetMode="External"/><Relationship Id="rId955" Type="http://schemas.openxmlformats.org/officeDocument/2006/relationships/hyperlink" Target="https://jrct.niph.go.jp/en-latest-detail/jRCT1030210661" TargetMode="External"/><Relationship Id="rId1140" Type="http://schemas.openxmlformats.org/officeDocument/2006/relationships/hyperlink" Target="https://clinicaltrials.gov/study/NCT04874974" TargetMode="External"/><Relationship Id="rId1378" Type="http://schemas.openxmlformats.org/officeDocument/2006/relationships/hyperlink" Target="https://pubmed.ncbi.nlm.nih.gov/30167782" TargetMode="External"/><Relationship Id="rId1585" Type="http://schemas.openxmlformats.org/officeDocument/2006/relationships/hyperlink" Target="https://pubmed.ncbi.nlm.nih.gov/33962354" TargetMode="External"/><Relationship Id="rId1792" Type="http://schemas.openxmlformats.org/officeDocument/2006/relationships/hyperlink" Target="https://pubmed.ncbi.nlm.nih.gov/38749320" TargetMode="External"/><Relationship Id="rId84" Type="http://schemas.openxmlformats.org/officeDocument/2006/relationships/hyperlink" Target="https://clinicaltrials.gov/study/NCT03953664" TargetMode="External"/><Relationship Id="rId510" Type="http://schemas.openxmlformats.org/officeDocument/2006/relationships/hyperlink" Target="https://pubmed.ncbi.nlm.nih.gov/31633254" TargetMode="External"/><Relationship Id="rId608" Type="http://schemas.openxmlformats.org/officeDocument/2006/relationships/hyperlink" Target="https://pubmed.ncbi.nlm.nih.gov/32919407" TargetMode="External"/><Relationship Id="rId815" Type="http://schemas.openxmlformats.org/officeDocument/2006/relationships/hyperlink" Target="https://pubmed.ncbi.nlm.nih.gov/36988483" TargetMode="External"/><Relationship Id="rId1238" Type="http://schemas.openxmlformats.org/officeDocument/2006/relationships/hyperlink" Target="https://clinicaltrials.gov/study/NCT05464563" TargetMode="External"/><Relationship Id="rId1445" Type="http://schemas.openxmlformats.org/officeDocument/2006/relationships/hyperlink" Target="https://pubmed.ncbi.nlm.nih.gov/31759809" TargetMode="External"/><Relationship Id="rId1652" Type="http://schemas.openxmlformats.org/officeDocument/2006/relationships/hyperlink" Target="https://pubmed.ncbi.nlm.nih.gov/35247794" TargetMode="External"/><Relationship Id="rId1000" Type="http://schemas.openxmlformats.org/officeDocument/2006/relationships/hyperlink" Target="https://clinicaltrials.gov/study/NCT03959735" TargetMode="External"/><Relationship Id="rId1305" Type="http://schemas.openxmlformats.org/officeDocument/2006/relationships/hyperlink" Target="https://clinicaltrials.gov/study/NCT05948111" TargetMode="External"/><Relationship Id="rId1512" Type="http://schemas.openxmlformats.org/officeDocument/2006/relationships/hyperlink" Target="https://pubmed.ncbi.nlm.nih.gov/32748261" TargetMode="External"/><Relationship Id="rId1817" Type="http://schemas.openxmlformats.org/officeDocument/2006/relationships/hyperlink" Target="https://center6.umin.ac.jp/cgi-open-bin/ctr_e/ctr_view.cgi?recptno=R000053860" TargetMode="External"/><Relationship Id="rId11" Type="http://schemas.openxmlformats.org/officeDocument/2006/relationships/hyperlink" Target="https://drks.de/search/en/trial/DRKS00023907" TargetMode="External"/><Relationship Id="rId398" Type="http://schemas.openxmlformats.org/officeDocument/2006/relationships/hyperlink" Target="https://clinicaltrials.gov/study/NCT05978921" TargetMode="External"/><Relationship Id="rId160" Type="http://schemas.openxmlformats.org/officeDocument/2006/relationships/hyperlink" Target="https://clinicaltrials.gov/study/NCT04399096" TargetMode="External"/><Relationship Id="rId258" Type="http://schemas.openxmlformats.org/officeDocument/2006/relationships/hyperlink" Target="https://clinicaltrials.gov/study/NCT05127837" TargetMode="External"/><Relationship Id="rId465" Type="http://schemas.openxmlformats.org/officeDocument/2006/relationships/hyperlink" Target="https://pubmed.ncbi.nlm.nih.gov/30306884" TargetMode="External"/><Relationship Id="rId672" Type="http://schemas.openxmlformats.org/officeDocument/2006/relationships/hyperlink" Target="https://pubmed.ncbi.nlm.nih.gov/33966678" TargetMode="External"/><Relationship Id="rId1095" Type="http://schemas.openxmlformats.org/officeDocument/2006/relationships/hyperlink" Target="https://clinicaltrials.gov/study/NCT04559529" TargetMode="External"/><Relationship Id="rId118" Type="http://schemas.openxmlformats.org/officeDocument/2006/relationships/hyperlink" Target="https://clinicaltrials.gov/study/NCT04124744" TargetMode="External"/><Relationship Id="rId325" Type="http://schemas.openxmlformats.org/officeDocument/2006/relationships/hyperlink" Target="https://clinicaltrials.gov/study/NCT05473741" TargetMode="External"/><Relationship Id="rId532" Type="http://schemas.openxmlformats.org/officeDocument/2006/relationships/hyperlink" Target="https://pubmed.ncbi.nlm.nih.gov/31780589" TargetMode="External"/><Relationship Id="rId977" Type="http://schemas.openxmlformats.org/officeDocument/2006/relationships/hyperlink" Target="https://jrct.niph.go.jp/en-latest-detail/jRCTs031200258" TargetMode="External"/><Relationship Id="rId1162" Type="http://schemas.openxmlformats.org/officeDocument/2006/relationships/hyperlink" Target="https://clinicaltrials.gov/study/NCT05046353" TargetMode="External"/><Relationship Id="rId837" Type="http://schemas.openxmlformats.org/officeDocument/2006/relationships/hyperlink" Target="https://pubmed.ncbi.nlm.nih.gov/37670161" TargetMode="External"/><Relationship Id="rId1022" Type="http://schemas.openxmlformats.org/officeDocument/2006/relationships/hyperlink" Target="https://clinicaltrials.gov/study/NCT04054973" TargetMode="External"/><Relationship Id="rId1467" Type="http://schemas.openxmlformats.org/officeDocument/2006/relationships/hyperlink" Target="https://pubmed.ncbi.nlm.nih.gov/32052567" TargetMode="External"/><Relationship Id="rId1674" Type="http://schemas.openxmlformats.org/officeDocument/2006/relationships/hyperlink" Target="https://pubmed.ncbi.nlm.nih.gov/35704951" TargetMode="External"/><Relationship Id="rId1881" Type="http://schemas.openxmlformats.org/officeDocument/2006/relationships/hyperlink" Target="https://pubmed.ncbi.nlm.nih.gov/30872010" TargetMode="External"/><Relationship Id="rId904" Type="http://schemas.openxmlformats.org/officeDocument/2006/relationships/hyperlink" Target="https://center6.umin.ac.jp/cgi-open-bin/ctr_e/ctr_view.cgi?recptno=R000055454" TargetMode="External"/><Relationship Id="rId1327" Type="http://schemas.openxmlformats.org/officeDocument/2006/relationships/hyperlink" Target="https://clinicaltrials.gov/study/NCT06107764" TargetMode="External"/><Relationship Id="rId1534" Type="http://schemas.openxmlformats.org/officeDocument/2006/relationships/hyperlink" Target="https://pubmed.ncbi.nlm.nih.gov/33087170" TargetMode="External"/><Relationship Id="rId1741" Type="http://schemas.openxmlformats.org/officeDocument/2006/relationships/hyperlink" Target="https://pubmed.ncbi.nlm.nih.gov/37349110" TargetMode="External"/><Relationship Id="rId33" Type="http://schemas.openxmlformats.org/officeDocument/2006/relationships/hyperlink" Target="https://www.isrctn.com/ISRCTN55682735" TargetMode="External"/><Relationship Id="rId1601" Type="http://schemas.openxmlformats.org/officeDocument/2006/relationships/hyperlink" Target="https://pubmed.ncbi.nlm.nih.gov/34301454" TargetMode="External"/><Relationship Id="rId1839" Type="http://schemas.openxmlformats.org/officeDocument/2006/relationships/hyperlink" Target="https://clinicaltrials.gov/study/NCT05778591" TargetMode="External"/><Relationship Id="rId182" Type="http://schemas.openxmlformats.org/officeDocument/2006/relationships/hyperlink" Target="https://clinicaltrials.gov/study/NCT04572685" TargetMode="External"/><Relationship Id="rId1906" Type="http://schemas.openxmlformats.org/officeDocument/2006/relationships/hyperlink" Target="https://clinicaltrials.gov/study/NCT05974527" TargetMode="External"/><Relationship Id="rId487" Type="http://schemas.openxmlformats.org/officeDocument/2006/relationships/hyperlink" Target="https://pubmed.ncbi.nlm.nih.gov/31298171" TargetMode="External"/><Relationship Id="rId694" Type="http://schemas.openxmlformats.org/officeDocument/2006/relationships/hyperlink" Target="https://pubmed.ncbi.nlm.nih.gov/34429604" TargetMode="External"/><Relationship Id="rId347" Type="http://schemas.openxmlformats.org/officeDocument/2006/relationships/hyperlink" Target="https://clinicaltrials.gov/study/NCT05643196" TargetMode="External"/><Relationship Id="rId999" Type="http://schemas.openxmlformats.org/officeDocument/2006/relationships/hyperlink" Target="https://clinicaltrials.gov/study/NCT03953664" TargetMode="External"/><Relationship Id="rId1184" Type="http://schemas.openxmlformats.org/officeDocument/2006/relationships/hyperlink" Target="https://clinicaltrials.gov/study/NCT05184335" TargetMode="External"/><Relationship Id="rId554" Type="http://schemas.openxmlformats.org/officeDocument/2006/relationships/hyperlink" Target="https://pubmed.ncbi.nlm.nih.gov/32068895" TargetMode="External"/><Relationship Id="rId761" Type="http://schemas.openxmlformats.org/officeDocument/2006/relationships/hyperlink" Target="https://pubmed.ncbi.nlm.nih.gov/35759349" TargetMode="External"/><Relationship Id="rId859" Type="http://schemas.openxmlformats.org/officeDocument/2006/relationships/hyperlink" Target="https://pubmed.ncbi.nlm.nih.gov/38309212" TargetMode="External"/><Relationship Id="rId1391" Type="http://schemas.openxmlformats.org/officeDocument/2006/relationships/hyperlink" Target="https://pubmed.ncbi.nlm.nih.gov/30903287" TargetMode="External"/><Relationship Id="rId1489" Type="http://schemas.openxmlformats.org/officeDocument/2006/relationships/hyperlink" Target="https://pubmed.ncbi.nlm.nih.gov/32349835" TargetMode="External"/><Relationship Id="rId1696" Type="http://schemas.openxmlformats.org/officeDocument/2006/relationships/hyperlink" Target="https://pubmed.ncbi.nlm.nih.gov/36182772" TargetMode="External"/><Relationship Id="rId207" Type="http://schemas.openxmlformats.org/officeDocument/2006/relationships/hyperlink" Target="https://clinicaltrials.gov/study/NCT04779177" TargetMode="External"/><Relationship Id="rId414" Type="http://schemas.openxmlformats.org/officeDocument/2006/relationships/hyperlink" Target="https://clinicaltrials.gov/study/NCT06118268" TargetMode="External"/><Relationship Id="rId621" Type="http://schemas.openxmlformats.org/officeDocument/2006/relationships/hyperlink" Target="https://pubmed.ncbi.nlm.nih.gov/33113211" TargetMode="External"/><Relationship Id="rId1044" Type="http://schemas.openxmlformats.org/officeDocument/2006/relationships/hyperlink" Target="https://clinicaltrials.gov/study/NCT04182113" TargetMode="External"/><Relationship Id="rId1251" Type="http://schemas.openxmlformats.org/officeDocument/2006/relationships/hyperlink" Target="https://clinicaltrials.gov/study/NCT05538832" TargetMode="External"/><Relationship Id="rId1349" Type="http://schemas.openxmlformats.org/officeDocument/2006/relationships/hyperlink" Target="https://clinicaltrials.gov/study/NCT06257056" TargetMode="External"/><Relationship Id="rId719" Type="http://schemas.openxmlformats.org/officeDocument/2006/relationships/hyperlink" Target="https://pubmed.ncbi.nlm.nih.gov/34896870" TargetMode="External"/><Relationship Id="rId926" Type="http://schemas.openxmlformats.org/officeDocument/2006/relationships/hyperlink" Target="https://drks.de/search/en/trial/DRKS00023907" TargetMode="External"/><Relationship Id="rId1111" Type="http://schemas.openxmlformats.org/officeDocument/2006/relationships/hyperlink" Target="https://clinicaltrials.gov/study/NCT04673851" TargetMode="External"/><Relationship Id="rId1556" Type="http://schemas.openxmlformats.org/officeDocument/2006/relationships/hyperlink" Target="https://pubmed.ncbi.nlm.nih.gov/33434727" TargetMode="External"/><Relationship Id="rId1763" Type="http://schemas.openxmlformats.org/officeDocument/2006/relationships/hyperlink" Target="https://pubmed.ncbi.nlm.nih.gov/38053478" TargetMode="External"/><Relationship Id="rId55" Type="http://schemas.openxmlformats.org/officeDocument/2006/relationships/hyperlink" Target="https://jrct.niph.go.jp/en-latest-detail/jRCT2031210251" TargetMode="External"/><Relationship Id="rId1209" Type="http://schemas.openxmlformats.org/officeDocument/2006/relationships/hyperlink" Target="https://clinicaltrials.gov/study/NCT05321602" TargetMode="External"/><Relationship Id="rId1416" Type="http://schemas.openxmlformats.org/officeDocument/2006/relationships/hyperlink" Target="https://pubmed.ncbi.nlm.nih.gov/31481703" TargetMode="External"/><Relationship Id="rId1623" Type="http://schemas.openxmlformats.org/officeDocument/2006/relationships/hyperlink" Target="https://pubmed.ncbi.nlm.nih.gov/34673326" TargetMode="External"/><Relationship Id="rId1830" Type="http://schemas.openxmlformats.org/officeDocument/2006/relationships/hyperlink" Target="https://www.clinicaltrialsregister.eu/ctr-search/trial/2021-001278-44/ES" TargetMode="External"/><Relationship Id="rId1928" Type="http://schemas.openxmlformats.org/officeDocument/2006/relationships/hyperlink" Target="https://pubmed.ncbi.nlm.nih.gov/32966585" TargetMode="External"/><Relationship Id="rId271" Type="http://schemas.openxmlformats.org/officeDocument/2006/relationships/hyperlink" Target="https://clinicaltrials.gov/study/NCT05204407" TargetMode="External"/><Relationship Id="rId131" Type="http://schemas.openxmlformats.org/officeDocument/2006/relationships/hyperlink" Target="https://clinicaltrials.gov/study/NCT04191200" TargetMode="External"/><Relationship Id="rId369" Type="http://schemas.openxmlformats.org/officeDocument/2006/relationships/hyperlink" Target="https://clinicaltrials.gov/study/NCT05746455" TargetMode="External"/><Relationship Id="rId576" Type="http://schemas.openxmlformats.org/officeDocument/2006/relationships/hyperlink" Target="https://pubmed.ncbi.nlm.nih.gov/32393412" TargetMode="External"/><Relationship Id="rId783" Type="http://schemas.openxmlformats.org/officeDocument/2006/relationships/hyperlink" Target="https://pubmed.ncbi.nlm.nih.gov/36231292" TargetMode="External"/><Relationship Id="rId990" Type="http://schemas.openxmlformats.org/officeDocument/2006/relationships/hyperlink" Target="https://clinicaltrials.gov/study/NCT03575000" TargetMode="External"/><Relationship Id="rId229" Type="http://schemas.openxmlformats.org/officeDocument/2006/relationships/hyperlink" Target="https://clinicaltrials.gov/study/NCT04911010" TargetMode="External"/><Relationship Id="rId436" Type="http://schemas.openxmlformats.org/officeDocument/2006/relationships/hyperlink" Target="https://clinicaltrials.gov/study/NCT06275451" TargetMode="External"/><Relationship Id="rId643" Type="http://schemas.openxmlformats.org/officeDocument/2006/relationships/hyperlink" Target="https://pubmed.ncbi.nlm.nih.gov/33479775" TargetMode="External"/><Relationship Id="rId1066" Type="http://schemas.openxmlformats.org/officeDocument/2006/relationships/hyperlink" Target="https://clinicaltrials.gov/study/NCT04321759" TargetMode="External"/><Relationship Id="rId1273" Type="http://schemas.openxmlformats.org/officeDocument/2006/relationships/hyperlink" Target="https://clinicaltrials.gov/study/NCT05693935" TargetMode="External"/><Relationship Id="rId1480" Type="http://schemas.openxmlformats.org/officeDocument/2006/relationships/hyperlink" Target="https://pubmed.ncbi.nlm.nih.gov/32239365" TargetMode="External"/><Relationship Id="rId850" Type="http://schemas.openxmlformats.org/officeDocument/2006/relationships/hyperlink" Target="https://pubmed.ncbi.nlm.nih.gov/38151432" TargetMode="External"/><Relationship Id="rId948" Type="http://schemas.openxmlformats.org/officeDocument/2006/relationships/hyperlink" Target="https://www.isrctn.com/ISRCTN55682735" TargetMode="External"/><Relationship Id="rId1133" Type="http://schemas.openxmlformats.org/officeDocument/2006/relationships/hyperlink" Target="https://clinicaltrials.gov/study/NCT04846881" TargetMode="External"/><Relationship Id="rId1578" Type="http://schemas.openxmlformats.org/officeDocument/2006/relationships/hyperlink" Target="https://pubmed.ncbi.nlm.nih.gov/33857028" TargetMode="External"/><Relationship Id="rId1785" Type="http://schemas.openxmlformats.org/officeDocument/2006/relationships/hyperlink" Target="https://pubmed.ncbi.nlm.nih.gov/38537483" TargetMode="External"/><Relationship Id="rId77" Type="http://schemas.openxmlformats.org/officeDocument/2006/relationships/hyperlink" Target="https://clinicaltrials.gov/study/NCT03807388" TargetMode="External"/><Relationship Id="rId503" Type="http://schemas.openxmlformats.org/officeDocument/2006/relationships/hyperlink" Target="https://pubmed.ncbi.nlm.nih.gov/31487208" TargetMode="External"/><Relationship Id="rId710" Type="http://schemas.openxmlformats.org/officeDocument/2006/relationships/hyperlink" Target="https://pubmed.ncbi.nlm.nih.gov/34740708" TargetMode="External"/><Relationship Id="rId808" Type="http://schemas.openxmlformats.org/officeDocument/2006/relationships/hyperlink" Target="https://pubmed.ncbi.nlm.nih.gov/36905498" TargetMode="External"/><Relationship Id="rId1340" Type="http://schemas.openxmlformats.org/officeDocument/2006/relationships/hyperlink" Target="https://clinicaltrials.gov/study/NCT06191965" TargetMode="External"/><Relationship Id="rId1438" Type="http://schemas.openxmlformats.org/officeDocument/2006/relationships/hyperlink" Target="https://pubmed.ncbi.nlm.nih.gov/31711448" TargetMode="External"/><Relationship Id="rId1645" Type="http://schemas.openxmlformats.org/officeDocument/2006/relationships/hyperlink" Target="https://pubmed.ncbi.nlm.nih.gov/35150309" TargetMode="External"/><Relationship Id="rId1200" Type="http://schemas.openxmlformats.org/officeDocument/2006/relationships/hyperlink" Target="https://clinicaltrials.gov/study/NCT05276050" TargetMode="External"/><Relationship Id="rId1852" Type="http://schemas.openxmlformats.org/officeDocument/2006/relationships/hyperlink" Target="https://clinicaltrials.gov/study/NCT06361407" TargetMode="External"/><Relationship Id="rId1505" Type="http://schemas.openxmlformats.org/officeDocument/2006/relationships/hyperlink" Target="https://pubmed.ncbi.nlm.nih.gov/32633541" TargetMode="External"/><Relationship Id="rId1712" Type="http://schemas.openxmlformats.org/officeDocument/2006/relationships/hyperlink" Target="https://pubmed.ncbi.nlm.nih.gov/36691039" TargetMode="External"/><Relationship Id="rId293" Type="http://schemas.openxmlformats.org/officeDocument/2006/relationships/hyperlink" Target="https://clinicaltrials.gov/study/NCT05319080" TargetMode="External"/><Relationship Id="rId153" Type="http://schemas.openxmlformats.org/officeDocument/2006/relationships/hyperlink" Target="https://clinicaltrials.gov/study/NCT04325386" TargetMode="External"/><Relationship Id="rId360" Type="http://schemas.openxmlformats.org/officeDocument/2006/relationships/hyperlink" Target="https://clinicaltrials.gov/study/NCT05703412" TargetMode="External"/><Relationship Id="rId598" Type="http://schemas.openxmlformats.org/officeDocument/2006/relationships/hyperlink" Target="https://pubmed.ncbi.nlm.nih.gov/32750572" TargetMode="External"/><Relationship Id="rId220" Type="http://schemas.openxmlformats.org/officeDocument/2006/relationships/hyperlink" Target="https://clinicaltrials.gov/study/NCT04857983" TargetMode="External"/><Relationship Id="rId458" Type="http://schemas.openxmlformats.org/officeDocument/2006/relationships/hyperlink" Target="https://clinicaltrials.gov/study/NCT06505564" TargetMode="External"/><Relationship Id="rId665" Type="http://schemas.openxmlformats.org/officeDocument/2006/relationships/hyperlink" Target="https://pubmed.ncbi.nlm.nih.gov/33894334" TargetMode="External"/><Relationship Id="rId872" Type="http://schemas.openxmlformats.org/officeDocument/2006/relationships/hyperlink" Target="https://pubmed.ncbi.nlm.nih.gov/38566884" TargetMode="External"/><Relationship Id="rId1088" Type="http://schemas.openxmlformats.org/officeDocument/2006/relationships/hyperlink" Target="https://clinicaltrials.gov/study/NCT04506905" TargetMode="External"/><Relationship Id="rId1295" Type="http://schemas.openxmlformats.org/officeDocument/2006/relationships/hyperlink" Target="https://clinicaltrials.gov/study/NCT05847192" TargetMode="External"/><Relationship Id="rId318" Type="http://schemas.openxmlformats.org/officeDocument/2006/relationships/hyperlink" Target="https://clinicaltrials.gov/study/NCT05440955" TargetMode="External"/><Relationship Id="rId525" Type="http://schemas.openxmlformats.org/officeDocument/2006/relationships/hyperlink" Target="https://pubmed.ncbi.nlm.nih.gov/31722694" TargetMode="External"/><Relationship Id="rId732" Type="http://schemas.openxmlformats.org/officeDocument/2006/relationships/hyperlink" Target="https://pubmed.ncbi.nlm.nih.gov/35177673" TargetMode="External"/><Relationship Id="rId1155" Type="http://schemas.openxmlformats.org/officeDocument/2006/relationships/hyperlink" Target="https://clinicaltrials.gov/study/NCT04987229" TargetMode="External"/><Relationship Id="rId1362" Type="http://schemas.openxmlformats.org/officeDocument/2006/relationships/hyperlink" Target="https://clinicaltrials.gov/study/NCT06384521" TargetMode="External"/><Relationship Id="rId99" Type="http://schemas.openxmlformats.org/officeDocument/2006/relationships/hyperlink" Target="https://clinicaltrials.gov/study/NCT04025502" TargetMode="External"/><Relationship Id="rId1015" Type="http://schemas.openxmlformats.org/officeDocument/2006/relationships/hyperlink" Target="https://clinicaltrials.gov/study/NCT04025905" TargetMode="External"/><Relationship Id="rId1222" Type="http://schemas.openxmlformats.org/officeDocument/2006/relationships/hyperlink" Target="https://clinicaltrials.gov/study/NCT05351736" TargetMode="External"/><Relationship Id="rId1667" Type="http://schemas.openxmlformats.org/officeDocument/2006/relationships/hyperlink" Target="https://pubmed.ncbi.nlm.nih.gov/35586878" TargetMode="External"/><Relationship Id="rId1874" Type="http://schemas.openxmlformats.org/officeDocument/2006/relationships/hyperlink" Target="https://pubmed.ncbi.nlm.nih.gov/35147535" TargetMode="External"/><Relationship Id="rId1527" Type="http://schemas.openxmlformats.org/officeDocument/2006/relationships/hyperlink" Target="https://pubmed.ncbi.nlm.nih.gov/32943079" TargetMode="External"/><Relationship Id="rId1734" Type="http://schemas.openxmlformats.org/officeDocument/2006/relationships/hyperlink" Target="https://pubmed.ncbi.nlm.nih.gov/37019033" TargetMode="External"/><Relationship Id="rId1941" Type="http://schemas.openxmlformats.org/officeDocument/2006/relationships/hyperlink" Target="https://pubmed.ncbi.nlm.nih.gov/38427485" TargetMode="External"/><Relationship Id="rId26" Type="http://schemas.openxmlformats.org/officeDocument/2006/relationships/hyperlink" Target="https://drks.de/search/en/trial/DRKS00034230" TargetMode="External"/><Relationship Id="rId175" Type="http://schemas.openxmlformats.org/officeDocument/2006/relationships/hyperlink" Target="https://clinicaltrials.gov/study/NCT04512066" TargetMode="External"/><Relationship Id="rId1801" Type="http://schemas.openxmlformats.org/officeDocument/2006/relationships/hyperlink" Target="https://pubmed.ncbi.nlm.nih.gov/39075458" TargetMode="External"/><Relationship Id="rId382" Type="http://schemas.openxmlformats.org/officeDocument/2006/relationships/hyperlink" Target="https://clinicaltrials.gov/study/NCT05859698" TargetMode="External"/><Relationship Id="rId687" Type="http://schemas.openxmlformats.org/officeDocument/2006/relationships/hyperlink" Target="https://pubmed.ncbi.nlm.nih.gov/34304146" TargetMode="External"/><Relationship Id="rId242" Type="http://schemas.openxmlformats.org/officeDocument/2006/relationships/hyperlink" Target="https://clinicaltrials.gov/study/NCT05023252" TargetMode="External"/><Relationship Id="rId894" Type="http://schemas.openxmlformats.org/officeDocument/2006/relationships/hyperlink" Target="https://center6.umin.ac.jp/cgi-open-bin/ctr_e/ctr_view.cgi?recptno=R000048547" TargetMode="External"/><Relationship Id="rId1177" Type="http://schemas.openxmlformats.org/officeDocument/2006/relationships/hyperlink" Target="https://clinicaltrials.gov/study/NCT05140135" TargetMode="External"/><Relationship Id="rId102" Type="http://schemas.openxmlformats.org/officeDocument/2006/relationships/hyperlink" Target="https://clinicaltrials.gov/study/NCT04033679" TargetMode="External"/><Relationship Id="rId547" Type="http://schemas.openxmlformats.org/officeDocument/2006/relationships/hyperlink" Target="https://pubmed.ncbi.nlm.nih.gov/31973997" TargetMode="External"/><Relationship Id="rId754" Type="http://schemas.openxmlformats.org/officeDocument/2006/relationships/hyperlink" Target="https://pubmed.ncbi.nlm.nih.gov/35636031" TargetMode="External"/><Relationship Id="rId961" Type="http://schemas.openxmlformats.org/officeDocument/2006/relationships/hyperlink" Target="https://jrct.niph.go.jp/en-latest-detail/jRCT1050210142" TargetMode="External"/><Relationship Id="rId1384" Type="http://schemas.openxmlformats.org/officeDocument/2006/relationships/hyperlink" Target="https://pubmed.ncbi.nlm.nih.gov/30599145" TargetMode="External"/><Relationship Id="rId1591" Type="http://schemas.openxmlformats.org/officeDocument/2006/relationships/hyperlink" Target="https://pubmed.ncbi.nlm.nih.gov/34015556" TargetMode="External"/><Relationship Id="rId1689" Type="http://schemas.openxmlformats.org/officeDocument/2006/relationships/hyperlink" Target="https://pubmed.ncbi.nlm.nih.gov/36037322" TargetMode="External"/><Relationship Id="rId90" Type="http://schemas.openxmlformats.org/officeDocument/2006/relationships/hyperlink" Target="https://clinicaltrials.gov/study/NCT03995420" TargetMode="External"/><Relationship Id="rId407" Type="http://schemas.openxmlformats.org/officeDocument/2006/relationships/hyperlink" Target="https://clinicaltrials.gov/study/NCT06045897" TargetMode="External"/><Relationship Id="rId614" Type="http://schemas.openxmlformats.org/officeDocument/2006/relationships/hyperlink" Target="https://pubmed.ncbi.nlm.nih.gov/32961542" TargetMode="External"/><Relationship Id="rId821" Type="http://schemas.openxmlformats.org/officeDocument/2006/relationships/hyperlink" Target="https://pubmed.ncbi.nlm.nih.gov/37036495" TargetMode="External"/><Relationship Id="rId1037" Type="http://schemas.openxmlformats.org/officeDocument/2006/relationships/hyperlink" Target="https://clinicaltrials.gov/study/NCT04141540" TargetMode="External"/><Relationship Id="rId1244" Type="http://schemas.openxmlformats.org/officeDocument/2006/relationships/hyperlink" Target="https://clinicaltrials.gov/study/NCT05491486" TargetMode="External"/><Relationship Id="rId1451" Type="http://schemas.openxmlformats.org/officeDocument/2006/relationships/hyperlink" Target="https://pubmed.ncbi.nlm.nih.gov/31831201" TargetMode="External"/><Relationship Id="rId1896" Type="http://schemas.openxmlformats.org/officeDocument/2006/relationships/hyperlink" Target="https://clinicaltrials.gov/study/NCT04562961" TargetMode="External"/><Relationship Id="rId253" Type="http://schemas.openxmlformats.org/officeDocument/2006/relationships/hyperlink" Target="https://clinicaltrials.gov/study/NCT05109065" TargetMode="External"/><Relationship Id="rId460" Type="http://schemas.openxmlformats.org/officeDocument/2006/relationships/hyperlink" Target="https://pubmed.ncbi.nlm.nih.gov/29212415" TargetMode="External"/><Relationship Id="rId698" Type="http://schemas.openxmlformats.org/officeDocument/2006/relationships/hyperlink" Target="https://pubmed.ncbi.nlm.nih.gov/34544343" TargetMode="External"/><Relationship Id="rId919" Type="http://schemas.openxmlformats.org/officeDocument/2006/relationships/hyperlink" Target="https://drks.de/search/en/trial/DRKS00019079" TargetMode="External"/><Relationship Id="rId1090" Type="http://schemas.openxmlformats.org/officeDocument/2006/relationships/hyperlink" Target="https://clinicaltrials.gov/study/NCT04512066" TargetMode="External"/><Relationship Id="rId1104" Type="http://schemas.openxmlformats.org/officeDocument/2006/relationships/hyperlink" Target="https://clinicaltrials.gov/study/NCT04608032" TargetMode="External"/><Relationship Id="rId1311" Type="http://schemas.openxmlformats.org/officeDocument/2006/relationships/hyperlink" Target="https://clinicaltrials.gov/study/NCT05968638" TargetMode="External"/><Relationship Id="rId1549" Type="http://schemas.openxmlformats.org/officeDocument/2006/relationships/hyperlink" Target="https://pubmed.ncbi.nlm.nih.gov/33279374" TargetMode="External"/><Relationship Id="rId1756" Type="http://schemas.openxmlformats.org/officeDocument/2006/relationships/hyperlink" Target="https://pubmed.ncbi.nlm.nih.gov/37732853" TargetMode="External"/><Relationship Id="rId48" Type="http://schemas.openxmlformats.org/officeDocument/2006/relationships/hyperlink" Target="https://jrct.niph.go.jp/en-latest-detail/jRCT1060220026" TargetMode="External"/><Relationship Id="rId113" Type="http://schemas.openxmlformats.org/officeDocument/2006/relationships/hyperlink" Target="https://clinicaltrials.gov/study/NCT04109950" TargetMode="External"/><Relationship Id="rId320" Type="http://schemas.openxmlformats.org/officeDocument/2006/relationships/hyperlink" Target="https://clinicaltrials.gov/study/NCT05457127" TargetMode="External"/><Relationship Id="rId558" Type="http://schemas.openxmlformats.org/officeDocument/2006/relationships/hyperlink" Target="https://pubmed.ncbi.nlm.nih.gov/32141723" TargetMode="External"/><Relationship Id="rId765" Type="http://schemas.openxmlformats.org/officeDocument/2006/relationships/hyperlink" Target="https://pubmed.ncbi.nlm.nih.gov/35857811" TargetMode="External"/><Relationship Id="rId972" Type="http://schemas.openxmlformats.org/officeDocument/2006/relationships/hyperlink" Target="https://jrct.niph.go.jp/en-latest-detail/jRCT2061220034" TargetMode="External"/><Relationship Id="rId1188" Type="http://schemas.openxmlformats.org/officeDocument/2006/relationships/hyperlink" Target="https://clinicaltrials.gov/study/NCT05206734" TargetMode="External"/><Relationship Id="rId1395" Type="http://schemas.openxmlformats.org/officeDocument/2006/relationships/hyperlink" Target="https://pubmed.ncbi.nlm.nih.gov/30944045" TargetMode="External"/><Relationship Id="rId1409" Type="http://schemas.openxmlformats.org/officeDocument/2006/relationships/hyperlink" Target="https://pubmed.ncbi.nlm.nih.gov/31416744" TargetMode="External"/><Relationship Id="rId1616" Type="http://schemas.openxmlformats.org/officeDocument/2006/relationships/hyperlink" Target="https://pubmed.ncbi.nlm.nih.gov/34570061" TargetMode="External"/><Relationship Id="rId1823" Type="http://schemas.openxmlformats.org/officeDocument/2006/relationships/hyperlink" Target="https://center6.umin.ac.jp/cgi-open-bin/ctr_e/ctr_view.cgi?recptno=R000058177" TargetMode="External"/><Relationship Id="rId197" Type="http://schemas.openxmlformats.org/officeDocument/2006/relationships/hyperlink" Target="https://clinicaltrials.gov/study/NCT04681807" TargetMode="External"/><Relationship Id="rId418" Type="http://schemas.openxmlformats.org/officeDocument/2006/relationships/hyperlink" Target="https://clinicaltrials.gov/study/NCT06138054" TargetMode="External"/><Relationship Id="rId625" Type="http://schemas.openxmlformats.org/officeDocument/2006/relationships/hyperlink" Target="https://pubmed.ncbi.nlm.nih.gov/33183362" TargetMode="External"/><Relationship Id="rId832" Type="http://schemas.openxmlformats.org/officeDocument/2006/relationships/hyperlink" Target="https://pubmed.ncbi.nlm.nih.gov/37532985" TargetMode="External"/><Relationship Id="rId1048" Type="http://schemas.openxmlformats.org/officeDocument/2006/relationships/hyperlink" Target="https://clinicaltrials.gov/study/NCT04203056" TargetMode="External"/><Relationship Id="rId1255" Type="http://schemas.openxmlformats.org/officeDocument/2006/relationships/hyperlink" Target="https://clinicaltrials.gov/study/NCT05567848" TargetMode="External"/><Relationship Id="rId1462" Type="http://schemas.openxmlformats.org/officeDocument/2006/relationships/hyperlink" Target="https://pubmed.ncbi.nlm.nih.gov/31973997" TargetMode="External"/><Relationship Id="rId264" Type="http://schemas.openxmlformats.org/officeDocument/2006/relationships/hyperlink" Target="https://clinicaltrials.gov/study/NCT05145413" TargetMode="External"/><Relationship Id="rId471" Type="http://schemas.openxmlformats.org/officeDocument/2006/relationships/hyperlink" Target="https://pubmed.ncbi.nlm.nih.gov/30660574" TargetMode="External"/><Relationship Id="rId1115" Type="http://schemas.openxmlformats.org/officeDocument/2006/relationships/hyperlink" Target="https://clinicaltrials.gov/study/NCT04712734" TargetMode="External"/><Relationship Id="rId1322" Type="http://schemas.openxmlformats.org/officeDocument/2006/relationships/hyperlink" Target="https://clinicaltrials.gov/study/NCT06045897" TargetMode="External"/><Relationship Id="rId1767" Type="http://schemas.openxmlformats.org/officeDocument/2006/relationships/hyperlink" Target="https://pubmed.ncbi.nlm.nih.gov/38166946" TargetMode="External"/><Relationship Id="rId59" Type="http://schemas.openxmlformats.org/officeDocument/2006/relationships/hyperlink" Target="https://jrct.niph.go.jp/en-latest-detail/jRCT2071210040" TargetMode="External"/><Relationship Id="rId124" Type="http://schemas.openxmlformats.org/officeDocument/2006/relationships/hyperlink" Target="https://clinicaltrials.gov/study/NCT04147897" TargetMode="External"/><Relationship Id="rId569" Type="http://schemas.openxmlformats.org/officeDocument/2006/relationships/hyperlink" Target="https://pubmed.ncbi.nlm.nih.gov/32297486" TargetMode="External"/><Relationship Id="rId776" Type="http://schemas.openxmlformats.org/officeDocument/2006/relationships/hyperlink" Target="https://pubmed.ncbi.nlm.nih.gov/36085679" TargetMode="External"/><Relationship Id="rId983" Type="http://schemas.openxmlformats.org/officeDocument/2006/relationships/hyperlink" Target="https://jrct.niph.go.jp/en-latest-detail/jRCTs032210197" TargetMode="External"/><Relationship Id="rId1199" Type="http://schemas.openxmlformats.org/officeDocument/2006/relationships/hyperlink" Target="https://clinicaltrials.gov/study/NCT05273164" TargetMode="External"/><Relationship Id="rId1627" Type="http://schemas.openxmlformats.org/officeDocument/2006/relationships/hyperlink" Target="https://pubmed.ncbi.nlm.nih.gov/34785674" TargetMode="External"/><Relationship Id="rId1834" Type="http://schemas.openxmlformats.org/officeDocument/2006/relationships/hyperlink" Target="https://clinicaltrials.gov/study/NCT05974527" TargetMode="External"/><Relationship Id="rId331" Type="http://schemas.openxmlformats.org/officeDocument/2006/relationships/hyperlink" Target="https://clinicaltrials.gov/study/NCT05511363" TargetMode="External"/><Relationship Id="rId429" Type="http://schemas.openxmlformats.org/officeDocument/2006/relationships/hyperlink" Target="https://clinicaltrials.gov/study/NCT06229210" TargetMode="External"/><Relationship Id="rId636" Type="http://schemas.openxmlformats.org/officeDocument/2006/relationships/hyperlink" Target="https://pubmed.ncbi.nlm.nih.gov/33292873" TargetMode="External"/><Relationship Id="rId1059" Type="http://schemas.openxmlformats.org/officeDocument/2006/relationships/hyperlink" Target="https://clinicaltrials.gov/study/NCT04294719" TargetMode="External"/><Relationship Id="rId1266" Type="http://schemas.openxmlformats.org/officeDocument/2006/relationships/hyperlink" Target="https://clinicaltrials.gov/study/NCT05660018" TargetMode="External"/><Relationship Id="rId1473" Type="http://schemas.openxmlformats.org/officeDocument/2006/relationships/hyperlink" Target="https://pubmed.ncbi.nlm.nih.gov/32141723" TargetMode="External"/><Relationship Id="rId843" Type="http://schemas.openxmlformats.org/officeDocument/2006/relationships/hyperlink" Target="https://pubmed.ncbi.nlm.nih.gov/37833590" TargetMode="External"/><Relationship Id="rId1126" Type="http://schemas.openxmlformats.org/officeDocument/2006/relationships/hyperlink" Target="https://clinicaltrials.gov/study/NCT04787302" TargetMode="External"/><Relationship Id="rId1680" Type="http://schemas.openxmlformats.org/officeDocument/2006/relationships/hyperlink" Target="https://pubmed.ncbi.nlm.nih.gov/35857811" TargetMode="External"/><Relationship Id="rId1778" Type="http://schemas.openxmlformats.org/officeDocument/2006/relationships/hyperlink" Target="https://pubmed.ncbi.nlm.nih.gov/38388986" TargetMode="External"/><Relationship Id="rId1901" Type="http://schemas.openxmlformats.org/officeDocument/2006/relationships/hyperlink" Target="https://clinicaltrials.gov/study/NCT05770375" TargetMode="External"/><Relationship Id="rId275" Type="http://schemas.openxmlformats.org/officeDocument/2006/relationships/hyperlink" Target="https://clinicaltrials.gov/study/NCT05211947" TargetMode="External"/><Relationship Id="rId482" Type="http://schemas.openxmlformats.org/officeDocument/2006/relationships/hyperlink" Target="https://pubmed.ncbi.nlm.nih.gov/31041855" TargetMode="External"/><Relationship Id="rId703" Type="http://schemas.openxmlformats.org/officeDocument/2006/relationships/hyperlink" Target="https://pubmed.ncbi.nlm.nih.gov/34626144" TargetMode="External"/><Relationship Id="rId910" Type="http://schemas.openxmlformats.org/officeDocument/2006/relationships/hyperlink" Target="https://center6.umin.ac.jp/cgi-open-bin/ctr_e/ctr_view.cgi?recptno=R000061356" TargetMode="External"/><Relationship Id="rId1333" Type="http://schemas.openxmlformats.org/officeDocument/2006/relationships/hyperlink" Target="https://clinicaltrials.gov/study/NCT06138054" TargetMode="External"/><Relationship Id="rId1540" Type="http://schemas.openxmlformats.org/officeDocument/2006/relationships/hyperlink" Target="https://pubmed.ncbi.nlm.nih.gov/33183362" TargetMode="External"/><Relationship Id="rId1638" Type="http://schemas.openxmlformats.org/officeDocument/2006/relationships/hyperlink" Target="https://pubmed.ncbi.nlm.nih.gov/34983438" TargetMode="External"/><Relationship Id="rId135" Type="http://schemas.openxmlformats.org/officeDocument/2006/relationships/hyperlink" Target="https://clinicaltrials.gov/study/NCT04221269" TargetMode="External"/><Relationship Id="rId342" Type="http://schemas.openxmlformats.org/officeDocument/2006/relationships/hyperlink" Target="https://clinicaltrials.gov/study/NCT05580211" TargetMode="External"/><Relationship Id="rId787" Type="http://schemas.openxmlformats.org/officeDocument/2006/relationships/hyperlink" Target="https://pubmed.ncbi.nlm.nih.gov/36414626" TargetMode="External"/><Relationship Id="rId994" Type="http://schemas.openxmlformats.org/officeDocument/2006/relationships/hyperlink" Target="https://clinicaltrials.gov/study/NCT03818516" TargetMode="External"/><Relationship Id="rId1400" Type="http://schemas.openxmlformats.org/officeDocument/2006/relationships/hyperlink" Target="https://pubmed.ncbi.nlm.nih.gov/31103018" TargetMode="External"/><Relationship Id="rId1845" Type="http://schemas.openxmlformats.org/officeDocument/2006/relationships/hyperlink" Target="https://clinicaltrials.gov/study/NCT04001439" TargetMode="External"/><Relationship Id="rId202" Type="http://schemas.openxmlformats.org/officeDocument/2006/relationships/hyperlink" Target="https://clinicaltrials.gov/study/NCT04748679" TargetMode="External"/><Relationship Id="rId647" Type="http://schemas.openxmlformats.org/officeDocument/2006/relationships/hyperlink" Target="https://pubmed.ncbi.nlm.nih.gov/33587401" TargetMode="External"/><Relationship Id="rId854" Type="http://schemas.openxmlformats.org/officeDocument/2006/relationships/hyperlink" Target="https://pubmed.ncbi.nlm.nih.gov/38218952" TargetMode="External"/><Relationship Id="rId1277" Type="http://schemas.openxmlformats.org/officeDocument/2006/relationships/hyperlink" Target="https://clinicaltrials.gov/study/NCT05712928" TargetMode="External"/><Relationship Id="rId1484" Type="http://schemas.openxmlformats.org/officeDocument/2006/relationships/hyperlink" Target="https://pubmed.ncbi.nlm.nih.gov/32297486" TargetMode="External"/><Relationship Id="rId1691" Type="http://schemas.openxmlformats.org/officeDocument/2006/relationships/hyperlink" Target="https://pubmed.ncbi.nlm.nih.gov/36085679" TargetMode="External"/><Relationship Id="rId1705" Type="http://schemas.openxmlformats.org/officeDocument/2006/relationships/hyperlink" Target="https://pubmed.ncbi.nlm.nih.gov/36463724" TargetMode="External"/><Relationship Id="rId1912" Type="http://schemas.openxmlformats.org/officeDocument/2006/relationships/hyperlink" Target="https://clinicaltrials.gov/study/NCT06376734" TargetMode="External"/><Relationship Id="rId286" Type="http://schemas.openxmlformats.org/officeDocument/2006/relationships/hyperlink" Target="https://clinicaltrials.gov/study/NCT05281640" TargetMode="External"/><Relationship Id="rId493" Type="http://schemas.openxmlformats.org/officeDocument/2006/relationships/hyperlink" Target="https://pubmed.ncbi.nlm.nih.gov/31390660" TargetMode="External"/><Relationship Id="rId507" Type="http://schemas.openxmlformats.org/officeDocument/2006/relationships/hyperlink" Target="https://pubmed.ncbi.nlm.nih.gov/31595302" TargetMode="External"/><Relationship Id="rId714" Type="http://schemas.openxmlformats.org/officeDocument/2006/relationships/hyperlink" Target="https://pubmed.ncbi.nlm.nih.gov/34814232" TargetMode="External"/><Relationship Id="rId921" Type="http://schemas.openxmlformats.org/officeDocument/2006/relationships/hyperlink" Target="https://drks.de/search/en/trial/DRKS00020476" TargetMode="External"/><Relationship Id="rId1137" Type="http://schemas.openxmlformats.org/officeDocument/2006/relationships/hyperlink" Target="https://clinicaltrials.gov/study/NCT04865835" TargetMode="External"/><Relationship Id="rId1344" Type="http://schemas.openxmlformats.org/officeDocument/2006/relationships/hyperlink" Target="https://clinicaltrials.gov/study/NCT06229210" TargetMode="External"/><Relationship Id="rId1551" Type="http://schemas.openxmlformats.org/officeDocument/2006/relationships/hyperlink" Target="https://pubmed.ncbi.nlm.nih.gov/33292873" TargetMode="External"/><Relationship Id="rId1789" Type="http://schemas.openxmlformats.org/officeDocument/2006/relationships/hyperlink" Target="https://pubmed.ncbi.nlm.nih.gov/38664377" TargetMode="External"/><Relationship Id="rId50" Type="http://schemas.openxmlformats.org/officeDocument/2006/relationships/hyperlink" Target="https://jrct.niph.go.jp/en-latest-detail/jRCT1080225178" TargetMode="External"/><Relationship Id="rId146" Type="http://schemas.openxmlformats.org/officeDocument/2006/relationships/hyperlink" Target="https://clinicaltrials.gov/study/NCT04306146" TargetMode="External"/><Relationship Id="rId353" Type="http://schemas.openxmlformats.org/officeDocument/2006/relationships/hyperlink" Target="https://clinicaltrials.gov/study/NCT05661448" TargetMode="External"/><Relationship Id="rId560" Type="http://schemas.openxmlformats.org/officeDocument/2006/relationships/hyperlink" Target="https://pubmed.ncbi.nlm.nih.gov/32160422" TargetMode="External"/><Relationship Id="rId798" Type="http://schemas.openxmlformats.org/officeDocument/2006/relationships/hyperlink" Target="https://pubmed.ncbi.nlm.nih.gov/36692909" TargetMode="External"/><Relationship Id="rId1190" Type="http://schemas.openxmlformats.org/officeDocument/2006/relationships/hyperlink" Target="https://clinicaltrials.gov/study/NCT05211947" TargetMode="External"/><Relationship Id="rId1204" Type="http://schemas.openxmlformats.org/officeDocument/2006/relationships/hyperlink" Target="https://clinicaltrials.gov/study/NCT05299749" TargetMode="External"/><Relationship Id="rId1411" Type="http://schemas.openxmlformats.org/officeDocument/2006/relationships/hyperlink" Target="https://pubmed.ncbi.nlm.nih.gov/31437659" TargetMode="External"/><Relationship Id="rId1649" Type="http://schemas.openxmlformats.org/officeDocument/2006/relationships/hyperlink" Target="https://pubmed.ncbi.nlm.nih.gov/35193729" TargetMode="External"/><Relationship Id="rId1856" Type="http://schemas.openxmlformats.org/officeDocument/2006/relationships/hyperlink" Target="https://clinicaltrials.gov/study/NCT05416658" TargetMode="External"/><Relationship Id="rId213" Type="http://schemas.openxmlformats.org/officeDocument/2006/relationships/hyperlink" Target="https://clinicaltrials.gov/study/NCT04807530" TargetMode="External"/><Relationship Id="rId420" Type="http://schemas.openxmlformats.org/officeDocument/2006/relationships/hyperlink" Target="https://clinicaltrials.gov/study/NCT06155695" TargetMode="External"/><Relationship Id="rId658" Type="http://schemas.openxmlformats.org/officeDocument/2006/relationships/hyperlink" Target="https://pubmed.ncbi.nlm.nih.gov/33814546" TargetMode="External"/><Relationship Id="rId865" Type="http://schemas.openxmlformats.org/officeDocument/2006/relationships/hyperlink" Target="https://pubmed.ncbi.nlm.nih.gov/38421921" TargetMode="External"/><Relationship Id="rId1050" Type="http://schemas.openxmlformats.org/officeDocument/2006/relationships/hyperlink" Target="https://clinicaltrials.gov/study/NCT04221269" TargetMode="External"/><Relationship Id="rId1288" Type="http://schemas.openxmlformats.org/officeDocument/2006/relationships/hyperlink" Target="https://clinicaltrials.gov/study/NCT05779241" TargetMode="External"/><Relationship Id="rId1495" Type="http://schemas.openxmlformats.org/officeDocument/2006/relationships/hyperlink" Target="https://pubmed.ncbi.nlm.nih.gov/32448677" TargetMode="External"/><Relationship Id="rId1509" Type="http://schemas.openxmlformats.org/officeDocument/2006/relationships/hyperlink" Target="https://pubmed.ncbi.nlm.nih.gov/32679400" TargetMode="External"/><Relationship Id="rId1716" Type="http://schemas.openxmlformats.org/officeDocument/2006/relationships/hyperlink" Target="https://pubmed.ncbi.nlm.nih.gov/36797233" TargetMode="External"/><Relationship Id="rId1923" Type="http://schemas.openxmlformats.org/officeDocument/2006/relationships/hyperlink" Target="https://pubmed.ncbi.nlm.nih.gov/31835905" TargetMode="External"/><Relationship Id="rId297" Type="http://schemas.openxmlformats.org/officeDocument/2006/relationships/hyperlink" Target="https://clinicaltrials.gov/study/NCT05326347" TargetMode="External"/><Relationship Id="rId518" Type="http://schemas.openxmlformats.org/officeDocument/2006/relationships/hyperlink" Target="https://pubmed.ncbi.nlm.nih.gov/31678957" TargetMode="External"/><Relationship Id="rId725" Type="http://schemas.openxmlformats.org/officeDocument/2006/relationships/hyperlink" Target="https://pubmed.ncbi.nlm.nih.gov/34991040" TargetMode="External"/><Relationship Id="rId932" Type="http://schemas.openxmlformats.org/officeDocument/2006/relationships/hyperlink" Target="https://drks.de/search/en/trial/DRKS00026231" TargetMode="External"/><Relationship Id="rId1148" Type="http://schemas.openxmlformats.org/officeDocument/2006/relationships/hyperlink" Target="https://clinicaltrials.gov/study/NCT04951700" TargetMode="External"/><Relationship Id="rId1355" Type="http://schemas.openxmlformats.org/officeDocument/2006/relationships/hyperlink" Target="https://clinicaltrials.gov/study/NCT06319170" TargetMode="External"/><Relationship Id="rId1562" Type="http://schemas.openxmlformats.org/officeDocument/2006/relationships/hyperlink" Target="https://pubmed.ncbi.nlm.nih.gov/33587401" TargetMode="External"/><Relationship Id="rId157" Type="http://schemas.openxmlformats.org/officeDocument/2006/relationships/hyperlink" Target="https://clinicaltrials.gov/study/NCT04368039" TargetMode="External"/><Relationship Id="rId364" Type="http://schemas.openxmlformats.org/officeDocument/2006/relationships/hyperlink" Target="https://clinicaltrials.gov/study/NCT05724810" TargetMode="External"/><Relationship Id="rId1008" Type="http://schemas.openxmlformats.org/officeDocument/2006/relationships/hyperlink" Target="https://clinicaltrials.gov/study/NCT04004364" TargetMode="External"/><Relationship Id="rId1215" Type="http://schemas.openxmlformats.org/officeDocument/2006/relationships/hyperlink" Target="https://clinicaltrials.gov/study/NCT05337904" TargetMode="External"/><Relationship Id="rId1422" Type="http://schemas.openxmlformats.org/officeDocument/2006/relationships/hyperlink" Target="https://pubmed.ncbi.nlm.nih.gov/31595302" TargetMode="External"/><Relationship Id="rId1867" Type="http://schemas.openxmlformats.org/officeDocument/2006/relationships/hyperlink" Target="https://clinicaltrials.gov/study/NCT00000179" TargetMode="External"/><Relationship Id="rId61" Type="http://schemas.openxmlformats.org/officeDocument/2006/relationships/hyperlink" Target="https://jrct.niph.go.jp/en-latest-detail/jRCTs031200050" TargetMode="External"/><Relationship Id="rId571" Type="http://schemas.openxmlformats.org/officeDocument/2006/relationships/hyperlink" Target="https://pubmed.ncbi.nlm.nih.gov/32332475" TargetMode="External"/><Relationship Id="rId669" Type="http://schemas.openxmlformats.org/officeDocument/2006/relationships/hyperlink" Target="https://pubmed.ncbi.nlm.nih.gov/33961863" TargetMode="External"/><Relationship Id="rId876" Type="http://schemas.openxmlformats.org/officeDocument/2006/relationships/hyperlink" Target="https://pubmed.ncbi.nlm.nih.gov/38718691" TargetMode="External"/><Relationship Id="rId1299" Type="http://schemas.openxmlformats.org/officeDocument/2006/relationships/hyperlink" Target="https://clinicaltrials.gov/study/NCT05877716" TargetMode="External"/><Relationship Id="rId1727" Type="http://schemas.openxmlformats.org/officeDocument/2006/relationships/hyperlink" Target="https://pubmed.ncbi.nlm.nih.gov/36946605" TargetMode="External"/><Relationship Id="rId1934" Type="http://schemas.openxmlformats.org/officeDocument/2006/relationships/hyperlink" Target="https://pubmed.ncbi.nlm.nih.gov/35147535" TargetMode="External"/><Relationship Id="rId19" Type="http://schemas.openxmlformats.org/officeDocument/2006/relationships/hyperlink" Target="https://drks.de/search/en/trial/DRKS00027316" TargetMode="External"/><Relationship Id="rId224" Type="http://schemas.openxmlformats.org/officeDocument/2006/relationships/hyperlink" Target="https://clinicaltrials.gov/study/NCT04870710" TargetMode="External"/><Relationship Id="rId431" Type="http://schemas.openxmlformats.org/officeDocument/2006/relationships/hyperlink" Target="https://clinicaltrials.gov/study/NCT06236048" TargetMode="External"/><Relationship Id="rId529" Type="http://schemas.openxmlformats.org/officeDocument/2006/relationships/hyperlink" Target="https://pubmed.ncbi.nlm.nih.gov/31752799" TargetMode="External"/><Relationship Id="rId736" Type="http://schemas.openxmlformats.org/officeDocument/2006/relationships/hyperlink" Target="https://pubmed.ncbi.nlm.nih.gov/35235720" TargetMode="External"/><Relationship Id="rId1061" Type="http://schemas.openxmlformats.org/officeDocument/2006/relationships/hyperlink" Target="https://clinicaltrials.gov/study/NCT04306146" TargetMode="External"/><Relationship Id="rId1159" Type="http://schemas.openxmlformats.org/officeDocument/2006/relationships/hyperlink" Target="https://clinicaltrials.gov/study/NCT05030272" TargetMode="External"/><Relationship Id="rId1366" Type="http://schemas.openxmlformats.org/officeDocument/2006/relationships/hyperlink" Target="https://clinicaltrials.gov/study/NCT06446856" TargetMode="External"/><Relationship Id="rId168" Type="http://schemas.openxmlformats.org/officeDocument/2006/relationships/hyperlink" Target="https://clinicaltrials.gov/study/NCT04457310" TargetMode="External"/><Relationship Id="rId943" Type="http://schemas.openxmlformats.org/officeDocument/2006/relationships/hyperlink" Target="https://www.isrctn.com/ISRCTN11998005" TargetMode="External"/><Relationship Id="rId1019" Type="http://schemas.openxmlformats.org/officeDocument/2006/relationships/hyperlink" Target="https://clinicaltrials.gov/study/NCT04038840" TargetMode="External"/><Relationship Id="rId1573" Type="http://schemas.openxmlformats.org/officeDocument/2006/relationships/hyperlink" Target="https://pubmed.ncbi.nlm.nih.gov/33814546" TargetMode="External"/><Relationship Id="rId1780" Type="http://schemas.openxmlformats.org/officeDocument/2006/relationships/hyperlink" Target="https://pubmed.ncbi.nlm.nih.gov/38421921" TargetMode="External"/><Relationship Id="rId1878" Type="http://schemas.openxmlformats.org/officeDocument/2006/relationships/hyperlink" Target="https://pubmed.ncbi.nlm.nih.gov/35277387" TargetMode="External"/><Relationship Id="rId72" Type="http://schemas.openxmlformats.org/officeDocument/2006/relationships/hyperlink" Target="https://clinicaltrials.gov/study/NCT00916201" TargetMode="External"/><Relationship Id="rId375" Type="http://schemas.openxmlformats.org/officeDocument/2006/relationships/hyperlink" Target="https://clinicaltrials.gov/study/NCT05809401" TargetMode="External"/><Relationship Id="rId582" Type="http://schemas.openxmlformats.org/officeDocument/2006/relationships/hyperlink" Target="https://pubmed.ncbi.nlm.nih.gov/32458107" TargetMode="External"/><Relationship Id="rId803" Type="http://schemas.openxmlformats.org/officeDocument/2006/relationships/hyperlink" Target="https://pubmed.ncbi.nlm.nih.gov/36804071" TargetMode="External"/><Relationship Id="rId1226" Type="http://schemas.openxmlformats.org/officeDocument/2006/relationships/hyperlink" Target="https://clinicaltrials.gov/study/NCT05389345" TargetMode="External"/><Relationship Id="rId1433" Type="http://schemas.openxmlformats.org/officeDocument/2006/relationships/hyperlink" Target="https://pubmed.ncbi.nlm.nih.gov/31678957" TargetMode="External"/><Relationship Id="rId1640" Type="http://schemas.openxmlformats.org/officeDocument/2006/relationships/hyperlink" Target="https://pubmed.ncbi.nlm.nih.gov/34991040" TargetMode="External"/><Relationship Id="rId1738" Type="http://schemas.openxmlformats.org/officeDocument/2006/relationships/hyperlink" Target="https://pubmed.ncbi.nlm.nih.gov/37141764" TargetMode="External"/><Relationship Id="rId3" Type="http://schemas.openxmlformats.org/officeDocument/2006/relationships/hyperlink" Target="https://drks.de/search/en/trial/DRKS00018083" TargetMode="External"/><Relationship Id="rId235" Type="http://schemas.openxmlformats.org/officeDocument/2006/relationships/hyperlink" Target="https://clinicaltrials.gov/study/NCT04968223" TargetMode="External"/><Relationship Id="rId442" Type="http://schemas.openxmlformats.org/officeDocument/2006/relationships/hyperlink" Target="https://clinicaltrials.gov/study/NCT06336616" TargetMode="External"/><Relationship Id="rId887" Type="http://schemas.openxmlformats.org/officeDocument/2006/relationships/hyperlink" Target="https://center6.umin.ac.jp/cgi-open-bin/ctr_e/ctr_view.cgi?recptno=R000042506" TargetMode="External"/><Relationship Id="rId1072" Type="http://schemas.openxmlformats.org/officeDocument/2006/relationships/hyperlink" Target="https://clinicaltrials.gov/study/NCT04368039" TargetMode="External"/><Relationship Id="rId1500" Type="http://schemas.openxmlformats.org/officeDocument/2006/relationships/hyperlink" Target="https://pubmed.ncbi.nlm.nih.gov/32519208" TargetMode="External"/><Relationship Id="rId302" Type="http://schemas.openxmlformats.org/officeDocument/2006/relationships/hyperlink" Target="https://clinicaltrials.gov/study/NCT05340348" TargetMode="External"/><Relationship Id="rId747" Type="http://schemas.openxmlformats.org/officeDocument/2006/relationships/hyperlink" Target="https://pubmed.ncbi.nlm.nih.gov/35467271" TargetMode="External"/><Relationship Id="rId954" Type="http://schemas.openxmlformats.org/officeDocument/2006/relationships/hyperlink" Target="https://jrct.niph.go.jp/en-latest-detail/jRCT1030210514" TargetMode="External"/><Relationship Id="rId1377" Type="http://schemas.openxmlformats.org/officeDocument/2006/relationships/hyperlink" Target="https://pubmed.ncbi.nlm.nih.gov/30109845" TargetMode="External"/><Relationship Id="rId1584" Type="http://schemas.openxmlformats.org/officeDocument/2006/relationships/hyperlink" Target="https://pubmed.ncbi.nlm.nih.gov/33961863" TargetMode="External"/><Relationship Id="rId1791" Type="http://schemas.openxmlformats.org/officeDocument/2006/relationships/hyperlink" Target="https://pubmed.ncbi.nlm.nih.gov/38718691" TargetMode="External"/><Relationship Id="rId1805" Type="http://schemas.openxmlformats.org/officeDocument/2006/relationships/hyperlink" Target="https://center6.umin.ac.jp/cgi-open-bin/ctr_e/ctr_view.cgi?recptno=R000044835" TargetMode="External"/><Relationship Id="rId83" Type="http://schemas.openxmlformats.org/officeDocument/2006/relationships/hyperlink" Target="https://clinicaltrials.gov/study/NCT03943537" TargetMode="External"/><Relationship Id="rId179" Type="http://schemas.openxmlformats.org/officeDocument/2006/relationships/hyperlink" Target="https://clinicaltrials.gov/study/NCT04554121" TargetMode="External"/><Relationship Id="rId386" Type="http://schemas.openxmlformats.org/officeDocument/2006/relationships/hyperlink" Target="https://clinicaltrials.gov/study/NCT05893862" TargetMode="External"/><Relationship Id="rId593" Type="http://schemas.openxmlformats.org/officeDocument/2006/relationships/hyperlink" Target="https://pubmed.ncbi.nlm.nih.gov/32667636" TargetMode="External"/><Relationship Id="rId607" Type="http://schemas.openxmlformats.org/officeDocument/2006/relationships/hyperlink" Target="https://pubmed.ncbi.nlm.nih.gov/32893328" TargetMode="External"/><Relationship Id="rId814" Type="http://schemas.openxmlformats.org/officeDocument/2006/relationships/hyperlink" Target="https://pubmed.ncbi.nlm.nih.gov/36965364" TargetMode="External"/><Relationship Id="rId1237" Type="http://schemas.openxmlformats.org/officeDocument/2006/relationships/hyperlink" Target="https://clinicaltrials.gov/study/NCT05463770" TargetMode="External"/><Relationship Id="rId1444" Type="http://schemas.openxmlformats.org/officeDocument/2006/relationships/hyperlink" Target="https://pubmed.ncbi.nlm.nih.gov/31752799" TargetMode="External"/><Relationship Id="rId1651" Type="http://schemas.openxmlformats.org/officeDocument/2006/relationships/hyperlink" Target="https://pubmed.ncbi.nlm.nih.gov/35235720" TargetMode="External"/><Relationship Id="rId1889" Type="http://schemas.openxmlformats.org/officeDocument/2006/relationships/hyperlink" Target="https://clinicaltrials.gov/study/NCT01979796" TargetMode="External"/><Relationship Id="rId246" Type="http://schemas.openxmlformats.org/officeDocument/2006/relationships/hyperlink" Target="https://clinicaltrials.gov/study/NCT05036590" TargetMode="External"/><Relationship Id="rId453" Type="http://schemas.openxmlformats.org/officeDocument/2006/relationships/hyperlink" Target="https://clinicaltrials.gov/study/NCT06482554" TargetMode="External"/><Relationship Id="rId660" Type="http://schemas.openxmlformats.org/officeDocument/2006/relationships/hyperlink" Target="https://pubmed.ncbi.nlm.nih.gov/33849683" TargetMode="External"/><Relationship Id="rId898" Type="http://schemas.openxmlformats.org/officeDocument/2006/relationships/hyperlink" Target="https://center6.umin.ac.jp/cgi-open-bin/ctr_e/ctr_view.cgi?recptno=R000050273" TargetMode="External"/><Relationship Id="rId1083" Type="http://schemas.openxmlformats.org/officeDocument/2006/relationships/hyperlink" Target="https://clinicaltrials.gov/study/NCT04457310" TargetMode="External"/><Relationship Id="rId1290" Type="http://schemas.openxmlformats.org/officeDocument/2006/relationships/hyperlink" Target="https://clinicaltrials.gov/study/NCT05809401" TargetMode="External"/><Relationship Id="rId1304" Type="http://schemas.openxmlformats.org/officeDocument/2006/relationships/hyperlink" Target="https://clinicaltrials.gov/study/NCT05945602" TargetMode="External"/><Relationship Id="rId1511" Type="http://schemas.openxmlformats.org/officeDocument/2006/relationships/hyperlink" Target="https://pubmed.ncbi.nlm.nih.gov/32693320" TargetMode="External"/><Relationship Id="rId1749" Type="http://schemas.openxmlformats.org/officeDocument/2006/relationships/hyperlink" Target="https://pubmed.ncbi.nlm.nih.gov/37625246" TargetMode="External"/><Relationship Id="rId106" Type="http://schemas.openxmlformats.org/officeDocument/2006/relationships/hyperlink" Target="https://clinicaltrials.gov/study/NCT04046497" TargetMode="External"/><Relationship Id="rId313" Type="http://schemas.openxmlformats.org/officeDocument/2006/relationships/hyperlink" Target="https://clinicaltrials.gov/study/NCT05402111" TargetMode="External"/><Relationship Id="rId758" Type="http://schemas.openxmlformats.org/officeDocument/2006/relationships/hyperlink" Target="https://pubmed.ncbi.nlm.nih.gov/35701062" TargetMode="External"/><Relationship Id="rId965" Type="http://schemas.openxmlformats.org/officeDocument/2006/relationships/hyperlink" Target="https://jrct.niph.go.jp/en-latest-detail/jRCT1080225178" TargetMode="External"/><Relationship Id="rId1150" Type="http://schemas.openxmlformats.org/officeDocument/2006/relationships/hyperlink" Target="https://clinicaltrials.gov/study/NCT04968223" TargetMode="External"/><Relationship Id="rId1388" Type="http://schemas.openxmlformats.org/officeDocument/2006/relationships/hyperlink" Target="https://pubmed.ncbi.nlm.nih.gov/30790597" TargetMode="External"/><Relationship Id="rId1595" Type="http://schemas.openxmlformats.org/officeDocument/2006/relationships/hyperlink" Target="https://pubmed.ncbi.nlm.nih.gov/34187420" TargetMode="External"/><Relationship Id="rId1609" Type="http://schemas.openxmlformats.org/officeDocument/2006/relationships/hyperlink" Target="https://pubmed.ncbi.nlm.nih.gov/34429604" TargetMode="External"/><Relationship Id="rId1816" Type="http://schemas.openxmlformats.org/officeDocument/2006/relationships/hyperlink" Target="https://center6.umin.ac.jp/cgi-open-bin/ctr_e/ctr_view.cgi?recptno=R000051321" TargetMode="External"/><Relationship Id="rId10" Type="http://schemas.openxmlformats.org/officeDocument/2006/relationships/hyperlink" Target="https://drks.de/search/en/trial/DRKS00023143" TargetMode="External"/><Relationship Id="rId94" Type="http://schemas.openxmlformats.org/officeDocument/2006/relationships/hyperlink" Target="https://clinicaltrials.gov/study/NCT04004416" TargetMode="External"/><Relationship Id="rId397" Type="http://schemas.openxmlformats.org/officeDocument/2006/relationships/hyperlink" Target="https://clinicaltrials.gov/study/NCT05973110" TargetMode="External"/><Relationship Id="rId520" Type="http://schemas.openxmlformats.org/officeDocument/2006/relationships/hyperlink" Target="https://pubmed.ncbi.nlm.nih.gov/31688449" TargetMode="External"/><Relationship Id="rId618" Type="http://schemas.openxmlformats.org/officeDocument/2006/relationships/hyperlink" Target="https://pubmed.ncbi.nlm.nih.gov/33077012" TargetMode="External"/><Relationship Id="rId825" Type="http://schemas.openxmlformats.org/officeDocument/2006/relationships/hyperlink" Target="https://pubmed.ncbi.nlm.nih.gov/37267670" TargetMode="External"/><Relationship Id="rId1248" Type="http://schemas.openxmlformats.org/officeDocument/2006/relationships/hyperlink" Target="https://clinicaltrials.gov/study/NCT05527210" TargetMode="External"/><Relationship Id="rId1455" Type="http://schemas.openxmlformats.org/officeDocument/2006/relationships/hyperlink" Target="https://pubmed.ncbi.nlm.nih.gov/31847007" TargetMode="External"/><Relationship Id="rId1662" Type="http://schemas.openxmlformats.org/officeDocument/2006/relationships/hyperlink" Target="https://pubmed.ncbi.nlm.nih.gov/35467271" TargetMode="External"/><Relationship Id="rId257" Type="http://schemas.openxmlformats.org/officeDocument/2006/relationships/hyperlink" Target="https://clinicaltrials.gov/study/NCT05124470" TargetMode="External"/><Relationship Id="rId464" Type="http://schemas.openxmlformats.org/officeDocument/2006/relationships/hyperlink" Target="https://pubmed.ncbi.nlm.nih.gov/30278853" TargetMode="External"/><Relationship Id="rId1010" Type="http://schemas.openxmlformats.org/officeDocument/2006/relationships/hyperlink" Target="https://clinicaltrials.gov/study/NCT04005794" TargetMode="External"/><Relationship Id="rId1094" Type="http://schemas.openxmlformats.org/officeDocument/2006/relationships/hyperlink" Target="https://clinicaltrials.gov/study/NCT04554121" TargetMode="External"/><Relationship Id="rId1108" Type="http://schemas.openxmlformats.org/officeDocument/2006/relationships/hyperlink" Target="https://clinicaltrials.gov/study/NCT04655235" TargetMode="External"/><Relationship Id="rId1315" Type="http://schemas.openxmlformats.org/officeDocument/2006/relationships/hyperlink" Target="https://clinicaltrials.gov/study/NCT05995457" TargetMode="External"/><Relationship Id="rId117" Type="http://schemas.openxmlformats.org/officeDocument/2006/relationships/hyperlink" Target="https://clinicaltrials.gov/study/NCT04123223" TargetMode="External"/><Relationship Id="rId671" Type="http://schemas.openxmlformats.org/officeDocument/2006/relationships/hyperlink" Target="https://pubmed.ncbi.nlm.nih.gov/33963227" TargetMode="External"/><Relationship Id="rId769" Type="http://schemas.openxmlformats.org/officeDocument/2006/relationships/hyperlink" Target="https://pubmed.ncbi.nlm.nih.gov/35939921" TargetMode="External"/><Relationship Id="rId976" Type="http://schemas.openxmlformats.org/officeDocument/2006/relationships/hyperlink" Target="https://jrct.niph.go.jp/en-latest-detail/jRCTs031200050" TargetMode="External"/><Relationship Id="rId1399" Type="http://schemas.openxmlformats.org/officeDocument/2006/relationships/hyperlink" Target="https://pubmed.ncbi.nlm.nih.gov/31077729" TargetMode="External"/><Relationship Id="rId324" Type="http://schemas.openxmlformats.org/officeDocument/2006/relationships/hyperlink" Target="https://clinicaltrials.gov/study/NCT05469815" TargetMode="External"/><Relationship Id="rId531" Type="http://schemas.openxmlformats.org/officeDocument/2006/relationships/hyperlink" Target="https://pubmed.ncbi.nlm.nih.gov/31762390" TargetMode="External"/><Relationship Id="rId629" Type="http://schemas.openxmlformats.org/officeDocument/2006/relationships/hyperlink" Target="https://pubmed.ncbi.nlm.nih.gov/33222210" TargetMode="External"/><Relationship Id="rId1161" Type="http://schemas.openxmlformats.org/officeDocument/2006/relationships/hyperlink" Target="https://clinicaltrials.gov/study/NCT05036590" TargetMode="External"/><Relationship Id="rId1259" Type="http://schemas.openxmlformats.org/officeDocument/2006/relationships/hyperlink" Target="https://clinicaltrials.gov/study/NCT05601063" TargetMode="External"/><Relationship Id="rId1466" Type="http://schemas.openxmlformats.org/officeDocument/2006/relationships/hyperlink" Target="https://pubmed.ncbi.nlm.nih.gov/32036587" TargetMode="External"/><Relationship Id="rId836" Type="http://schemas.openxmlformats.org/officeDocument/2006/relationships/hyperlink" Target="https://pubmed.ncbi.nlm.nih.gov/37653768" TargetMode="External"/><Relationship Id="rId1021" Type="http://schemas.openxmlformats.org/officeDocument/2006/relationships/hyperlink" Target="https://clinicaltrials.gov/study/NCT04046497" TargetMode="External"/><Relationship Id="rId1119" Type="http://schemas.openxmlformats.org/officeDocument/2006/relationships/hyperlink" Target="https://clinicaltrials.gov/study/NCT04756388" TargetMode="External"/><Relationship Id="rId1673" Type="http://schemas.openxmlformats.org/officeDocument/2006/relationships/hyperlink" Target="https://pubmed.ncbi.nlm.nih.gov/35701062" TargetMode="External"/><Relationship Id="rId1880" Type="http://schemas.openxmlformats.org/officeDocument/2006/relationships/hyperlink" Target="https://pubmed.ncbi.nlm.nih.gov/34435395" TargetMode="External"/><Relationship Id="rId903" Type="http://schemas.openxmlformats.org/officeDocument/2006/relationships/hyperlink" Target="https://center6.umin.ac.jp/cgi-open-bin/ctr_e/ctr_view.cgi?recptno=R000054062" TargetMode="External"/><Relationship Id="rId1326" Type="http://schemas.openxmlformats.org/officeDocument/2006/relationships/hyperlink" Target="https://clinicaltrials.gov/study/NCT06093451" TargetMode="External"/><Relationship Id="rId1533" Type="http://schemas.openxmlformats.org/officeDocument/2006/relationships/hyperlink" Target="https://pubmed.ncbi.nlm.nih.gov/33077012" TargetMode="External"/><Relationship Id="rId1740" Type="http://schemas.openxmlformats.org/officeDocument/2006/relationships/hyperlink" Target="https://pubmed.ncbi.nlm.nih.gov/37267670" TargetMode="External"/><Relationship Id="rId32" Type="http://schemas.openxmlformats.org/officeDocument/2006/relationships/hyperlink" Target="https://www.isrctn.com/ISRCTN49498363" TargetMode="External"/><Relationship Id="rId1600" Type="http://schemas.openxmlformats.org/officeDocument/2006/relationships/hyperlink" Target="https://pubmed.ncbi.nlm.nih.gov/34289275" TargetMode="External"/><Relationship Id="rId1838" Type="http://schemas.openxmlformats.org/officeDocument/2006/relationships/hyperlink" Target="https://clinicaltrials.gov/study/NCT06484387" TargetMode="External"/><Relationship Id="rId181" Type="http://schemas.openxmlformats.org/officeDocument/2006/relationships/hyperlink" Target="https://clinicaltrials.gov/study/NCT04567524" TargetMode="External"/><Relationship Id="rId1905" Type="http://schemas.openxmlformats.org/officeDocument/2006/relationships/hyperlink" Target="https://clinicaltrials.gov/study/NCT05956600" TargetMode="External"/><Relationship Id="rId279" Type="http://schemas.openxmlformats.org/officeDocument/2006/relationships/hyperlink" Target="https://clinicaltrials.gov/study/NCT05245539" TargetMode="External"/><Relationship Id="rId486" Type="http://schemas.openxmlformats.org/officeDocument/2006/relationships/hyperlink" Target="https://pubmed.ncbi.nlm.nih.gov/31264510" TargetMode="External"/><Relationship Id="rId693" Type="http://schemas.openxmlformats.org/officeDocument/2006/relationships/hyperlink" Target="https://pubmed.ncbi.nlm.nih.gov/34428118" TargetMode="External"/><Relationship Id="rId139" Type="http://schemas.openxmlformats.org/officeDocument/2006/relationships/hyperlink" Target="https://clinicaltrials.gov/study/NCT04267003" TargetMode="External"/><Relationship Id="rId346" Type="http://schemas.openxmlformats.org/officeDocument/2006/relationships/hyperlink" Target="https://clinicaltrials.gov/study/NCT05643170" TargetMode="External"/><Relationship Id="rId553" Type="http://schemas.openxmlformats.org/officeDocument/2006/relationships/hyperlink" Target="https://pubmed.ncbi.nlm.nih.gov/32062728" TargetMode="External"/><Relationship Id="rId760" Type="http://schemas.openxmlformats.org/officeDocument/2006/relationships/hyperlink" Target="https://pubmed.ncbi.nlm.nih.gov/35715740" TargetMode="External"/><Relationship Id="rId998" Type="http://schemas.openxmlformats.org/officeDocument/2006/relationships/hyperlink" Target="https://clinicaltrials.gov/study/NCT03943537" TargetMode="External"/><Relationship Id="rId1183" Type="http://schemas.openxmlformats.org/officeDocument/2006/relationships/hyperlink" Target="https://clinicaltrials.gov/study/NCT05182476" TargetMode="External"/><Relationship Id="rId1390" Type="http://schemas.openxmlformats.org/officeDocument/2006/relationships/hyperlink" Target="https://pubmed.ncbi.nlm.nih.gov/30829190" TargetMode="External"/><Relationship Id="rId206" Type="http://schemas.openxmlformats.org/officeDocument/2006/relationships/hyperlink" Target="https://clinicaltrials.gov/study/NCT04768335" TargetMode="External"/><Relationship Id="rId413" Type="http://schemas.openxmlformats.org/officeDocument/2006/relationships/hyperlink" Target="https://clinicaltrials.gov/study/NCT06107803" TargetMode="External"/><Relationship Id="rId858" Type="http://schemas.openxmlformats.org/officeDocument/2006/relationships/hyperlink" Target="https://pubmed.ncbi.nlm.nih.gov/38301186" TargetMode="External"/><Relationship Id="rId1043" Type="http://schemas.openxmlformats.org/officeDocument/2006/relationships/hyperlink" Target="https://clinicaltrials.gov/study/NCT04173598" TargetMode="External"/><Relationship Id="rId1488" Type="http://schemas.openxmlformats.org/officeDocument/2006/relationships/hyperlink" Target="https://pubmed.ncbi.nlm.nih.gov/32349117" TargetMode="External"/><Relationship Id="rId1695" Type="http://schemas.openxmlformats.org/officeDocument/2006/relationships/hyperlink" Target="https://pubmed.ncbi.nlm.nih.gov/36154947" TargetMode="External"/><Relationship Id="rId620" Type="http://schemas.openxmlformats.org/officeDocument/2006/relationships/hyperlink" Target="https://pubmed.ncbi.nlm.nih.gov/33108030" TargetMode="External"/><Relationship Id="rId718" Type="http://schemas.openxmlformats.org/officeDocument/2006/relationships/hyperlink" Target="https://pubmed.ncbi.nlm.nih.gov/34886117" TargetMode="External"/><Relationship Id="rId925" Type="http://schemas.openxmlformats.org/officeDocument/2006/relationships/hyperlink" Target="https://drks.de/search/en/trial/DRKS00023143" TargetMode="External"/><Relationship Id="rId1250" Type="http://schemas.openxmlformats.org/officeDocument/2006/relationships/hyperlink" Target="https://clinicaltrials.gov/study/NCT05537428" TargetMode="External"/><Relationship Id="rId1348" Type="http://schemas.openxmlformats.org/officeDocument/2006/relationships/hyperlink" Target="https://clinicaltrials.gov/study/NCT06251193" TargetMode="External"/><Relationship Id="rId1555" Type="http://schemas.openxmlformats.org/officeDocument/2006/relationships/hyperlink" Target="https://pubmed.ncbi.nlm.nih.gov/33389108" TargetMode="External"/><Relationship Id="rId1762" Type="http://schemas.openxmlformats.org/officeDocument/2006/relationships/hyperlink" Target="https://pubmed.ncbi.nlm.nih.gov/37962384" TargetMode="External"/><Relationship Id="rId1110" Type="http://schemas.openxmlformats.org/officeDocument/2006/relationships/hyperlink" Target="https://clinicaltrials.gov/study/NCT04659174" TargetMode="External"/><Relationship Id="rId1208" Type="http://schemas.openxmlformats.org/officeDocument/2006/relationships/hyperlink" Target="https://clinicaltrials.gov/study/NCT05319080" TargetMode="External"/><Relationship Id="rId1415" Type="http://schemas.openxmlformats.org/officeDocument/2006/relationships/hyperlink" Target="https://pubmed.ncbi.nlm.nih.gov/31477061" TargetMode="External"/><Relationship Id="rId54" Type="http://schemas.openxmlformats.org/officeDocument/2006/relationships/hyperlink" Target="https://jrct.niph.go.jp/en-latest-detail/jRCT2031210241" TargetMode="External"/><Relationship Id="rId1622" Type="http://schemas.openxmlformats.org/officeDocument/2006/relationships/hyperlink" Target="https://pubmed.ncbi.nlm.nih.gov/34667261" TargetMode="External"/><Relationship Id="rId1927" Type="http://schemas.openxmlformats.org/officeDocument/2006/relationships/hyperlink" Target="https://pubmed.ncbi.nlm.nih.gov/32925028" TargetMode="External"/><Relationship Id="rId270" Type="http://schemas.openxmlformats.org/officeDocument/2006/relationships/hyperlink" Target="https://clinicaltrials.gov/study/NCT05185128" TargetMode="External"/><Relationship Id="rId130" Type="http://schemas.openxmlformats.org/officeDocument/2006/relationships/hyperlink" Target="https://clinicaltrials.gov/study/NCT04187560" TargetMode="External"/><Relationship Id="rId368" Type="http://schemas.openxmlformats.org/officeDocument/2006/relationships/hyperlink" Target="https://clinicaltrials.gov/study/NCT05742893" TargetMode="External"/><Relationship Id="rId575" Type="http://schemas.openxmlformats.org/officeDocument/2006/relationships/hyperlink" Target="https://pubmed.ncbi.nlm.nih.gov/32354661" TargetMode="External"/><Relationship Id="rId782" Type="http://schemas.openxmlformats.org/officeDocument/2006/relationships/hyperlink" Target="https://pubmed.ncbi.nlm.nih.gov/36190440" TargetMode="External"/><Relationship Id="rId228" Type="http://schemas.openxmlformats.org/officeDocument/2006/relationships/hyperlink" Target="https://clinicaltrials.gov/study/NCT04907279" TargetMode="External"/><Relationship Id="rId435" Type="http://schemas.openxmlformats.org/officeDocument/2006/relationships/hyperlink" Target="https://clinicaltrials.gov/study/NCT06270108" TargetMode="External"/><Relationship Id="rId642" Type="http://schemas.openxmlformats.org/officeDocument/2006/relationships/hyperlink" Target="https://pubmed.ncbi.nlm.nih.gov/33434958" TargetMode="External"/><Relationship Id="rId1065" Type="http://schemas.openxmlformats.org/officeDocument/2006/relationships/hyperlink" Target="https://clinicaltrials.gov/study/NCT04318977" TargetMode="External"/><Relationship Id="rId1272" Type="http://schemas.openxmlformats.org/officeDocument/2006/relationships/hyperlink" Target="https://clinicaltrials.gov/study/NCT05686239" TargetMode="External"/><Relationship Id="rId502" Type="http://schemas.openxmlformats.org/officeDocument/2006/relationships/hyperlink" Target="https://pubmed.ncbi.nlm.nih.gov/31486890" TargetMode="External"/><Relationship Id="rId947" Type="http://schemas.openxmlformats.org/officeDocument/2006/relationships/hyperlink" Target="https://www.isrctn.com/ISRCTN49498363" TargetMode="External"/><Relationship Id="rId1132" Type="http://schemas.openxmlformats.org/officeDocument/2006/relationships/hyperlink" Target="https://clinicaltrials.gov/study/NCT04846868" TargetMode="External"/><Relationship Id="rId1577" Type="http://schemas.openxmlformats.org/officeDocument/2006/relationships/hyperlink" Target="https://pubmed.ncbi.nlm.nih.gov/33854039" TargetMode="External"/><Relationship Id="rId1784" Type="http://schemas.openxmlformats.org/officeDocument/2006/relationships/hyperlink" Target="https://pubmed.ncbi.nlm.nih.gov/38533552" TargetMode="External"/><Relationship Id="rId76" Type="http://schemas.openxmlformats.org/officeDocument/2006/relationships/hyperlink" Target="https://clinicaltrials.gov/study/NCT03708315" TargetMode="External"/><Relationship Id="rId807" Type="http://schemas.openxmlformats.org/officeDocument/2006/relationships/hyperlink" Target="https://pubmed.ncbi.nlm.nih.gov/36891649" TargetMode="External"/><Relationship Id="rId1437" Type="http://schemas.openxmlformats.org/officeDocument/2006/relationships/hyperlink" Target="https://pubmed.ncbi.nlm.nih.gov/31707749" TargetMode="External"/><Relationship Id="rId1644" Type="http://schemas.openxmlformats.org/officeDocument/2006/relationships/hyperlink" Target="https://pubmed.ncbi.nlm.nih.gov/35133884" TargetMode="External"/><Relationship Id="rId1851" Type="http://schemas.openxmlformats.org/officeDocument/2006/relationships/hyperlink" Target="https://clinicaltrials.gov/study/NCT05823805" TargetMode="External"/><Relationship Id="rId1504" Type="http://schemas.openxmlformats.org/officeDocument/2006/relationships/hyperlink" Target="https://pubmed.ncbi.nlm.nih.gov/32614046" TargetMode="External"/><Relationship Id="rId1711" Type="http://schemas.openxmlformats.org/officeDocument/2006/relationships/hyperlink" Target="https://pubmed.ncbi.nlm.nih.gov/36660915" TargetMode="External"/><Relationship Id="rId292" Type="http://schemas.openxmlformats.org/officeDocument/2006/relationships/hyperlink" Target="https://clinicaltrials.gov/study/NCT05304767" TargetMode="External"/><Relationship Id="rId1809" Type="http://schemas.openxmlformats.org/officeDocument/2006/relationships/hyperlink" Target="https://center6.umin.ac.jp/cgi-open-bin/ctr_e/ctr_view.cgi?recptno=R000048547" TargetMode="External"/><Relationship Id="rId597" Type="http://schemas.openxmlformats.org/officeDocument/2006/relationships/hyperlink" Target="https://pubmed.ncbi.nlm.nih.gov/32748261" TargetMode="External"/><Relationship Id="rId152" Type="http://schemas.openxmlformats.org/officeDocument/2006/relationships/hyperlink" Target="https://clinicaltrials.gov/study/NCT04324944" TargetMode="External"/><Relationship Id="rId457" Type="http://schemas.openxmlformats.org/officeDocument/2006/relationships/hyperlink" Target="https://clinicaltrials.gov/study/NCT06502964" TargetMode="External"/><Relationship Id="rId1087" Type="http://schemas.openxmlformats.org/officeDocument/2006/relationships/hyperlink" Target="https://clinicaltrials.gov/study/NCT04497857" TargetMode="External"/><Relationship Id="rId1294" Type="http://schemas.openxmlformats.org/officeDocument/2006/relationships/hyperlink" Target="https://clinicaltrials.gov/study/NCT05838625" TargetMode="External"/><Relationship Id="rId664" Type="http://schemas.openxmlformats.org/officeDocument/2006/relationships/hyperlink" Target="https://pubmed.ncbi.nlm.nih.gov/33858488" TargetMode="External"/><Relationship Id="rId871" Type="http://schemas.openxmlformats.org/officeDocument/2006/relationships/hyperlink" Target="https://pubmed.ncbi.nlm.nih.gov/38547601" TargetMode="External"/><Relationship Id="rId969" Type="http://schemas.openxmlformats.org/officeDocument/2006/relationships/hyperlink" Target="https://jrct.niph.go.jp/en-latest-detail/jRCT2031210241" TargetMode="External"/><Relationship Id="rId1599" Type="http://schemas.openxmlformats.org/officeDocument/2006/relationships/hyperlink" Target="https://pubmed.ncbi.nlm.nih.gov/34270620" TargetMode="External"/><Relationship Id="rId317" Type="http://schemas.openxmlformats.org/officeDocument/2006/relationships/hyperlink" Target="https://clinicaltrials.gov/study/NCT05438160" TargetMode="External"/><Relationship Id="rId524" Type="http://schemas.openxmlformats.org/officeDocument/2006/relationships/hyperlink" Target="https://pubmed.ncbi.nlm.nih.gov/31712617" TargetMode="External"/><Relationship Id="rId731" Type="http://schemas.openxmlformats.org/officeDocument/2006/relationships/hyperlink" Target="https://pubmed.ncbi.nlm.nih.gov/35176740" TargetMode="External"/><Relationship Id="rId1154" Type="http://schemas.openxmlformats.org/officeDocument/2006/relationships/hyperlink" Target="https://clinicaltrials.gov/study/NCT04987151" TargetMode="External"/><Relationship Id="rId1361" Type="http://schemas.openxmlformats.org/officeDocument/2006/relationships/hyperlink" Target="https://clinicaltrials.gov/study/NCT06374290" TargetMode="External"/><Relationship Id="rId1459" Type="http://schemas.openxmlformats.org/officeDocument/2006/relationships/hyperlink" Target="https://pubmed.ncbi.nlm.nih.gov/31913424" TargetMode="External"/><Relationship Id="rId98" Type="http://schemas.openxmlformats.org/officeDocument/2006/relationships/hyperlink" Target="https://clinicaltrials.gov/study/NCT04024371" TargetMode="External"/><Relationship Id="rId829" Type="http://schemas.openxmlformats.org/officeDocument/2006/relationships/hyperlink" Target="https://pubmed.ncbi.nlm.nih.gov/37466276" TargetMode="External"/><Relationship Id="rId1014" Type="http://schemas.openxmlformats.org/officeDocument/2006/relationships/hyperlink" Target="https://clinicaltrials.gov/study/NCT04025502" TargetMode="External"/><Relationship Id="rId1221" Type="http://schemas.openxmlformats.org/officeDocument/2006/relationships/hyperlink" Target="https://clinicaltrials.gov/study/NCT05349513" TargetMode="External"/><Relationship Id="rId1666" Type="http://schemas.openxmlformats.org/officeDocument/2006/relationships/hyperlink" Target="https://pubmed.ncbi.nlm.nih.gov/35569503" TargetMode="External"/><Relationship Id="rId1873" Type="http://schemas.openxmlformats.org/officeDocument/2006/relationships/hyperlink" Target="https://pubmed.ncbi.nlm.nih.gov/37732619" TargetMode="External"/><Relationship Id="rId1319" Type="http://schemas.openxmlformats.org/officeDocument/2006/relationships/hyperlink" Target="https://clinicaltrials.gov/study/NCT06036316" TargetMode="External"/><Relationship Id="rId1526" Type="http://schemas.openxmlformats.org/officeDocument/2006/relationships/hyperlink" Target="https://pubmed.ncbi.nlm.nih.gov/32936897" TargetMode="External"/><Relationship Id="rId1733" Type="http://schemas.openxmlformats.org/officeDocument/2006/relationships/hyperlink" Target="https://pubmed.ncbi.nlm.nih.gov/37012184" TargetMode="External"/><Relationship Id="rId1940" Type="http://schemas.openxmlformats.org/officeDocument/2006/relationships/hyperlink" Target="https://pubmed.ncbi.nlm.nih.gov/38116916" TargetMode="External"/><Relationship Id="rId25" Type="http://schemas.openxmlformats.org/officeDocument/2006/relationships/hyperlink" Target="https://drks.de/search/en/trial/DRKS00032316" TargetMode="External"/><Relationship Id="rId1800" Type="http://schemas.openxmlformats.org/officeDocument/2006/relationships/hyperlink" Target="https://pubmed.ncbi.nlm.nih.gov/39054763" TargetMode="External"/><Relationship Id="rId174" Type="http://schemas.openxmlformats.org/officeDocument/2006/relationships/hyperlink" Target="https://clinicaltrials.gov/study/NCT04510298" TargetMode="External"/><Relationship Id="rId381" Type="http://schemas.openxmlformats.org/officeDocument/2006/relationships/hyperlink" Target="https://clinicaltrials.gov/study/NCT05848700" TargetMode="External"/><Relationship Id="rId241" Type="http://schemas.openxmlformats.org/officeDocument/2006/relationships/hyperlink" Target="https://clinicaltrials.gov/study/NCT05017532" TargetMode="External"/><Relationship Id="rId479" Type="http://schemas.openxmlformats.org/officeDocument/2006/relationships/hyperlink" Target="https://pubmed.ncbi.nlm.nih.gov/30937510" TargetMode="External"/><Relationship Id="rId686" Type="http://schemas.openxmlformats.org/officeDocument/2006/relationships/hyperlink" Target="https://pubmed.ncbi.nlm.nih.gov/34301454" TargetMode="External"/><Relationship Id="rId893" Type="http://schemas.openxmlformats.org/officeDocument/2006/relationships/hyperlink" Target="https://center6.umin.ac.jp/cgi-open-bin/ctr_e/ctr_view.cgi?recptno=R000047114" TargetMode="External"/><Relationship Id="rId339" Type="http://schemas.openxmlformats.org/officeDocument/2006/relationships/hyperlink" Target="https://clinicaltrials.gov/study/NCT05550155" TargetMode="External"/><Relationship Id="rId546" Type="http://schemas.openxmlformats.org/officeDocument/2006/relationships/hyperlink" Target="https://pubmed.ncbi.nlm.nih.gov/31954541" TargetMode="External"/><Relationship Id="rId753" Type="http://schemas.openxmlformats.org/officeDocument/2006/relationships/hyperlink" Target="https://pubmed.ncbi.nlm.nih.gov/35634965" TargetMode="External"/><Relationship Id="rId1176" Type="http://schemas.openxmlformats.org/officeDocument/2006/relationships/hyperlink" Target="https://clinicaltrials.gov/study/NCT05136690" TargetMode="External"/><Relationship Id="rId1383" Type="http://schemas.openxmlformats.org/officeDocument/2006/relationships/hyperlink" Target="https://pubmed.ncbi.nlm.nih.gov/30569083" TargetMode="External"/><Relationship Id="rId101" Type="http://schemas.openxmlformats.org/officeDocument/2006/relationships/hyperlink" Target="https://clinicaltrials.gov/study/NCT04030143" TargetMode="External"/><Relationship Id="rId406" Type="http://schemas.openxmlformats.org/officeDocument/2006/relationships/hyperlink" Target="https://clinicaltrials.gov/study/NCT06043206" TargetMode="External"/><Relationship Id="rId960" Type="http://schemas.openxmlformats.org/officeDocument/2006/relationships/hyperlink" Target="https://jrct.niph.go.jp/en-latest-detail/jRCT1041210028" TargetMode="External"/><Relationship Id="rId1036" Type="http://schemas.openxmlformats.org/officeDocument/2006/relationships/hyperlink" Target="https://clinicaltrials.gov/study/NCT04136873" TargetMode="External"/><Relationship Id="rId1243" Type="http://schemas.openxmlformats.org/officeDocument/2006/relationships/hyperlink" Target="https://clinicaltrials.gov/study/NCT05486312" TargetMode="External"/><Relationship Id="rId1590" Type="http://schemas.openxmlformats.org/officeDocument/2006/relationships/hyperlink" Target="https://pubmed.ncbi.nlm.nih.gov/34015555" TargetMode="External"/><Relationship Id="rId1688" Type="http://schemas.openxmlformats.org/officeDocument/2006/relationships/hyperlink" Target="https://pubmed.ncbi.nlm.nih.gov/36031632" TargetMode="External"/><Relationship Id="rId1895" Type="http://schemas.openxmlformats.org/officeDocument/2006/relationships/hyperlink" Target="https://clinicaltrials.gov/study/NCT04432116" TargetMode="External"/><Relationship Id="rId613" Type="http://schemas.openxmlformats.org/officeDocument/2006/relationships/hyperlink" Target="https://pubmed.ncbi.nlm.nih.gov/32945774" TargetMode="External"/><Relationship Id="rId820" Type="http://schemas.openxmlformats.org/officeDocument/2006/relationships/hyperlink" Target="https://pubmed.ncbi.nlm.nih.gov/37028258" TargetMode="External"/><Relationship Id="rId918" Type="http://schemas.openxmlformats.org/officeDocument/2006/relationships/hyperlink" Target="https://drks.de/search/en/trial/DRKS00018083" TargetMode="External"/><Relationship Id="rId1450" Type="http://schemas.openxmlformats.org/officeDocument/2006/relationships/hyperlink" Target="https://pubmed.ncbi.nlm.nih.gov/31825973" TargetMode="External"/><Relationship Id="rId1548" Type="http://schemas.openxmlformats.org/officeDocument/2006/relationships/hyperlink" Target="https://pubmed.ncbi.nlm.nih.gov/33272766" TargetMode="External"/><Relationship Id="rId1755" Type="http://schemas.openxmlformats.org/officeDocument/2006/relationships/hyperlink" Target="https://pubmed.ncbi.nlm.nih.gov/37716320" TargetMode="External"/><Relationship Id="rId1103" Type="http://schemas.openxmlformats.org/officeDocument/2006/relationships/hyperlink" Target="https://clinicaltrials.gov/study/NCT04602741" TargetMode="External"/><Relationship Id="rId1310" Type="http://schemas.openxmlformats.org/officeDocument/2006/relationships/hyperlink" Target="https://clinicaltrials.gov/study/NCT05966610" TargetMode="External"/><Relationship Id="rId1408" Type="http://schemas.openxmlformats.org/officeDocument/2006/relationships/hyperlink" Target="https://pubmed.ncbi.nlm.nih.gov/31390660" TargetMode="External"/><Relationship Id="rId47" Type="http://schemas.openxmlformats.org/officeDocument/2006/relationships/hyperlink" Target="https://jrct.niph.go.jp/en-latest-detail/jRCT1050220083" TargetMode="External"/><Relationship Id="rId1615" Type="http://schemas.openxmlformats.org/officeDocument/2006/relationships/hyperlink" Target="https://pubmed.ncbi.nlm.nih.gov/34561058" TargetMode="External"/><Relationship Id="rId1822" Type="http://schemas.openxmlformats.org/officeDocument/2006/relationships/hyperlink" Target="https://center6.umin.ac.jp/cgi-open-bin/ctr_e/ctr_view.cgi?recptno=R000058014" TargetMode="External"/><Relationship Id="rId196" Type="http://schemas.openxmlformats.org/officeDocument/2006/relationships/hyperlink" Target="https://clinicaltrials.gov/study/NCT04673851" TargetMode="External"/><Relationship Id="rId263" Type="http://schemas.openxmlformats.org/officeDocument/2006/relationships/hyperlink" Target="https://clinicaltrials.gov/study/NCT05142735" TargetMode="External"/><Relationship Id="rId470" Type="http://schemas.openxmlformats.org/officeDocument/2006/relationships/hyperlink" Target="https://pubmed.ncbi.nlm.nih.gov/30606273" TargetMode="External"/><Relationship Id="rId123" Type="http://schemas.openxmlformats.org/officeDocument/2006/relationships/hyperlink" Target="https://clinicaltrials.gov/study/NCT04143126" TargetMode="External"/><Relationship Id="rId330" Type="http://schemas.openxmlformats.org/officeDocument/2006/relationships/hyperlink" Target="https://clinicaltrials.gov/study/NCT05491538" TargetMode="External"/><Relationship Id="rId568" Type="http://schemas.openxmlformats.org/officeDocument/2006/relationships/hyperlink" Target="https://pubmed.ncbi.nlm.nih.gov/32294346" TargetMode="External"/><Relationship Id="rId775" Type="http://schemas.openxmlformats.org/officeDocument/2006/relationships/hyperlink" Target="https://pubmed.ncbi.nlm.nih.gov/36047035" TargetMode="External"/><Relationship Id="rId982" Type="http://schemas.openxmlformats.org/officeDocument/2006/relationships/hyperlink" Target="https://jrct.niph.go.jp/en-latest-detail/jRCTs032210059" TargetMode="External"/><Relationship Id="rId1198" Type="http://schemas.openxmlformats.org/officeDocument/2006/relationships/hyperlink" Target="https://clinicaltrials.gov/study/NCT05268809" TargetMode="External"/><Relationship Id="rId428" Type="http://schemas.openxmlformats.org/officeDocument/2006/relationships/hyperlink" Target="https://clinicaltrials.gov/study/NCT06225115" TargetMode="External"/><Relationship Id="rId635" Type="http://schemas.openxmlformats.org/officeDocument/2006/relationships/hyperlink" Target="https://pubmed.ncbi.nlm.nih.gov/33290939" TargetMode="External"/><Relationship Id="rId842" Type="http://schemas.openxmlformats.org/officeDocument/2006/relationships/hyperlink" Target="https://pubmed.ncbi.nlm.nih.gov/37778356" TargetMode="External"/><Relationship Id="rId1058" Type="http://schemas.openxmlformats.org/officeDocument/2006/relationships/hyperlink" Target="https://clinicaltrials.gov/study/NCT04280367" TargetMode="External"/><Relationship Id="rId1265" Type="http://schemas.openxmlformats.org/officeDocument/2006/relationships/hyperlink" Target="https://clinicaltrials.gov/study/NCT05658510" TargetMode="External"/><Relationship Id="rId1472" Type="http://schemas.openxmlformats.org/officeDocument/2006/relationships/hyperlink" Target="https://pubmed.ncbi.nlm.nih.gov/32122230" TargetMode="External"/><Relationship Id="rId702" Type="http://schemas.openxmlformats.org/officeDocument/2006/relationships/hyperlink" Target="https://pubmed.ncbi.nlm.nih.gov/34625041" TargetMode="External"/><Relationship Id="rId1125" Type="http://schemas.openxmlformats.org/officeDocument/2006/relationships/hyperlink" Target="https://clinicaltrials.gov/study/NCT04783571" TargetMode="External"/><Relationship Id="rId1332" Type="http://schemas.openxmlformats.org/officeDocument/2006/relationships/hyperlink" Target="https://clinicaltrials.gov/study/NCT06136936" TargetMode="External"/><Relationship Id="rId1777" Type="http://schemas.openxmlformats.org/officeDocument/2006/relationships/hyperlink" Target="https://pubmed.ncbi.nlm.nih.gov/38387253" TargetMode="External"/><Relationship Id="rId69" Type="http://schemas.openxmlformats.org/officeDocument/2006/relationships/hyperlink" Target="https://jrct.niph.go.jp/en-latest-detail/jRCTs032220691" TargetMode="External"/><Relationship Id="rId1637" Type="http://schemas.openxmlformats.org/officeDocument/2006/relationships/hyperlink" Target="https://pubmed.ncbi.nlm.nih.gov/34963486" TargetMode="External"/><Relationship Id="rId1844" Type="http://schemas.openxmlformats.org/officeDocument/2006/relationships/hyperlink" Target="https://clinicaltrials.gov/study/NCT06043778" TargetMode="External"/><Relationship Id="rId1704" Type="http://schemas.openxmlformats.org/officeDocument/2006/relationships/hyperlink" Target="https://pubmed.ncbi.nlm.nih.gov/36462184" TargetMode="External"/><Relationship Id="rId285" Type="http://schemas.openxmlformats.org/officeDocument/2006/relationships/hyperlink" Target="https://clinicaltrials.gov/study/NCT05276050" TargetMode="External"/><Relationship Id="rId1911" Type="http://schemas.openxmlformats.org/officeDocument/2006/relationships/hyperlink" Target="https://clinicaltrials.gov/study/NCT06375902" TargetMode="External"/><Relationship Id="rId492" Type="http://schemas.openxmlformats.org/officeDocument/2006/relationships/hyperlink" Target="https://pubmed.ncbi.nlm.nih.gov/31376788" TargetMode="External"/><Relationship Id="rId797" Type="http://schemas.openxmlformats.org/officeDocument/2006/relationships/hyperlink" Target="https://pubmed.ncbi.nlm.nih.gov/36691039" TargetMode="External"/><Relationship Id="rId145" Type="http://schemas.openxmlformats.org/officeDocument/2006/relationships/hyperlink" Target="https://clinicaltrials.gov/study/NCT04300946" TargetMode="External"/><Relationship Id="rId352" Type="http://schemas.openxmlformats.org/officeDocument/2006/relationships/hyperlink" Target="https://clinicaltrials.gov/study/NCT05660070" TargetMode="External"/><Relationship Id="rId1287" Type="http://schemas.openxmlformats.org/officeDocument/2006/relationships/hyperlink" Target="https://clinicaltrials.gov/study/NCT05756855" TargetMode="External"/><Relationship Id="rId212" Type="http://schemas.openxmlformats.org/officeDocument/2006/relationships/hyperlink" Target="https://clinicaltrials.gov/study/NCT04799717" TargetMode="External"/><Relationship Id="rId657" Type="http://schemas.openxmlformats.org/officeDocument/2006/relationships/hyperlink" Target="https://pubmed.ncbi.nlm.nih.gov/33783399" TargetMode="External"/><Relationship Id="rId864" Type="http://schemas.openxmlformats.org/officeDocument/2006/relationships/hyperlink" Target="https://pubmed.ncbi.nlm.nih.gov/38416865" TargetMode="External"/><Relationship Id="rId1494" Type="http://schemas.openxmlformats.org/officeDocument/2006/relationships/hyperlink" Target="https://pubmed.ncbi.nlm.nih.gov/32433835" TargetMode="External"/><Relationship Id="rId1799" Type="http://schemas.openxmlformats.org/officeDocument/2006/relationships/hyperlink" Target="https://pubmed.ncbi.nlm.nih.gov/39034077" TargetMode="External"/><Relationship Id="rId517" Type="http://schemas.openxmlformats.org/officeDocument/2006/relationships/hyperlink" Target="https://pubmed.ncbi.nlm.nih.gov/31672387" TargetMode="External"/><Relationship Id="rId724" Type="http://schemas.openxmlformats.org/officeDocument/2006/relationships/hyperlink" Target="https://pubmed.ncbi.nlm.nih.gov/34989824" TargetMode="External"/><Relationship Id="rId931" Type="http://schemas.openxmlformats.org/officeDocument/2006/relationships/hyperlink" Target="https://drks.de/search/en/trial/DRKS00026118" TargetMode="External"/><Relationship Id="rId1147" Type="http://schemas.openxmlformats.org/officeDocument/2006/relationships/hyperlink" Target="https://clinicaltrials.gov/study/NCT04946916" TargetMode="External"/><Relationship Id="rId1354" Type="http://schemas.openxmlformats.org/officeDocument/2006/relationships/hyperlink" Target="https://clinicaltrials.gov/study/NCT06315283" TargetMode="External"/><Relationship Id="rId1561" Type="http://schemas.openxmlformats.org/officeDocument/2006/relationships/hyperlink" Target="https://pubmed.ncbi.nlm.nih.gov/33587397" TargetMode="External"/><Relationship Id="rId60" Type="http://schemas.openxmlformats.org/officeDocument/2006/relationships/hyperlink" Target="https://jrct.niph.go.jp/en-latest-detail/jRCTs031190197" TargetMode="External"/><Relationship Id="rId1007" Type="http://schemas.openxmlformats.org/officeDocument/2006/relationships/hyperlink" Target="https://clinicaltrials.gov/study/NCT04001114" TargetMode="External"/><Relationship Id="rId1214" Type="http://schemas.openxmlformats.org/officeDocument/2006/relationships/hyperlink" Target="https://clinicaltrials.gov/study/NCT05333003" TargetMode="External"/><Relationship Id="rId1421" Type="http://schemas.openxmlformats.org/officeDocument/2006/relationships/hyperlink" Target="https://pubmed.ncbi.nlm.nih.gov/31565796" TargetMode="External"/><Relationship Id="rId1659" Type="http://schemas.openxmlformats.org/officeDocument/2006/relationships/hyperlink" Target="https://pubmed.ncbi.nlm.nih.gov/35422467" TargetMode="External"/><Relationship Id="rId1866" Type="http://schemas.openxmlformats.org/officeDocument/2006/relationships/hyperlink" Target="https://pubmed.ncbi.nlm.nih.gov/32729631" TargetMode="External"/><Relationship Id="rId1519" Type="http://schemas.openxmlformats.org/officeDocument/2006/relationships/hyperlink" Target="https://pubmed.ncbi.nlm.nih.gov/32846328" TargetMode="External"/><Relationship Id="rId1726" Type="http://schemas.openxmlformats.org/officeDocument/2006/relationships/hyperlink" Target="https://pubmed.ncbi.nlm.nih.gov/36933290" TargetMode="External"/><Relationship Id="rId1933" Type="http://schemas.openxmlformats.org/officeDocument/2006/relationships/hyperlink" Target="https://pubmed.ncbi.nlm.nih.gov/35137699" TargetMode="External"/><Relationship Id="rId18" Type="http://schemas.openxmlformats.org/officeDocument/2006/relationships/hyperlink" Target="https://drks.de/search/en/trial/DRKS00027002" TargetMode="External"/><Relationship Id="rId167" Type="http://schemas.openxmlformats.org/officeDocument/2006/relationships/hyperlink" Target="https://clinicaltrials.gov/study/NCT04452175" TargetMode="External"/><Relationship Id="rId374" Type="http://schemas.openxmlformats.org/officeDocument/2006/relationships/hyperlink" Target="https://clinicaltrials.gov/study/NCT05805397" TargetMode="External"/><Relationship Id="rId581" Type="http://schemas.openxmlformats.org/officeDocument/2006/relationships/hyperlink" Target="https://pubmed.ncbi.nlm.nih.gov/32450497" TargetMode="External"/><Relationship Id="rId234" Type="http://schemas.openxmlformats.org/officeDocument/2006/relationships/hyperlink" Target="https://clinicaltrials.gov/study/NCT04959032" TargetMode="External"/><Relationship Id="rId679" Type="http://schemas.openxmlformats.org/officeDocument/2006/relationships/hyperlink" Target="https://pubmed.ncbi.nlm.nih.gov/34170518" TargetMode="External"/><Relationship Id="rId886" Type="http://schemas.openxmlformats.org/officeDocument/2006/relationships/hyperlink" Target="https://pubmed.ncbi.nlm.nih.gov/39075458" TargetMode="External"/><Relationship Id="rId2" Type="http://schemas.openxmlformats.org/officeDocument/2006/relationships/hyperlink" Target="https://drks.de/search/en/trial/DRKS00017577" TargetMode="External"/><Relationship Id="rId441" Type="http://schemas.openxmlformats.org/officeDocument/2006/relationships/hyperlink" Target="https://clinicaltrials.gov/study/NCT06336382" TargetMode="External"/><Relationship Id="rId539" Type="http://schemas.openxmlformats.org/officeDocument/2006/relationships/hyperlink" Target="https://pubmed.ncbi.nlm.nih.gov/31837113" TargetMode="External"/><Relationship Id="rId746" Type="http://schemas.openxmlformats.org/officeDocument/2006/relationships/hyperlink" Target="https://pubmed.ncbi.nlm.nih.gov/35443947" TargetMode="External"/><Relationship Id="rId1071" Type="http://schemas.openxmlformats.org/officeDocument/2006/relationships/hyperlink" Target="https://clinicaltrials.gov/study/NCT04366401" TargetMode="External"/><Relationship Id="rId1169" Type="http://schemas.openxmlformats.org/officeDocument/2006/relationships/hyperlink" Target="https://clinicaltrials.gov/study/NCT05110157" TargetMode="External"/><Relationship Id="rId1376" Type="http://schemas.openxmlformats.org/officeDocument/2006/relationships/hyperlink" Target="https://pubmed.ncbi.nlm.nih.gov/29941057" TargetMode="External"/><Relationship Id="rId1583" Type="http://schemas.openxmlformats.org/officeDocument/2006/relationships/hyperlink" Target="https://pubmed.ncbi.nlm.nih.gov/33908296" TargetMode="External"/><Relationship Id="rId301" Type="http://schemas.openxmlformats.org/officeDocument/2006/relationships/hyperlink" Target="https://clinicaltrials.gov/study/NCT05338424" TargetMode="External"/><Relationship Id="rId953" Type="http://schemas.openxmlformats.org/officeDocument/2006/relationships/hyperlink" Target="https://jrct.niph.go.jp/en-latest-detail/jRCT1020210045" TargetMode="External"/><Relationship Id="rId1029" Type="http://schemas.openxmlformats.org/officeDocument/2006/relationships/hyperlink" Target="https://clinicaltrials.gov/study/NCT04115319" TargetMode="External"/><Relationship Id="rId1236" Type="http://schemas.openxmlformats.org/officeDocument/2006/relationships/hyperlink" Target="https://clinicaltrials.gov/study/NCT05462340" TargetMode="External"/><Relationship Id="rId1790" Type="http://schemas.openxmlformats.org/officeDocument/2006/relationships/hyperlink" Target="https://pubmed.ncbi.nlm.nih.gov/38713452" TargetMode="External"/><Relationship Id="rId1888" Type="http://schemas.openxmlformats.org/officeDocument/2006/relationships/hyperlink" Target="https://clinicaltrials.gov/study/NCT00000179" TargetMode="External"/><Relationship Id="rId82" Type="http://schemas.openxmlformats.org/officeDocument/2006/relationships/hyperlink" Target="https://clinicaltrials.gov/study/NCT03919760" TargetMode="External"/><Relationship Id="rId606" Type="http://schemas.openxmlformats.org/officeDocument/2006/relationships/hyperlink" Target="https://pubmed.ncbi.nlm.nih.gov/32868522" TargetMode="External"/><Relationship Id="rId813" Type="http://schemas.openxmlformats.org/officeDocument/2006/relationships/hyperlink" Target="https://pubmed.ncbi.nlm.nih.gov/36958998" TargetMode="External"/><Relationship Id="rId1443" Type="http://schemas.openxmlformats.org/officeDocument/2006/relationships/hyperlink" Target="https://pubmed.ncbi.nlm.nih.gov/31747930" TargetMode="External"/><Relationship Id="rId1650" Type="http://schemas.openxmlformats.org/officeDocument/2006/relationships/hyperlink" Target="https://pubmed.ncbi.nlm.nih.gov/35211743" TargetMode="External"/><Relationship Id="rId1748" Type="http://schemas.openxmlformats.org/officeDocument/2006/relationships/hyperlink" Target="https://pubmed.ncbi.nlm.nih.gov/37597507" TargetMode="External"/><Relationship Id="rId1303" Type="http://schemas.openxmlformats.org/officeDocument/2006/relationships/hyperlink" Target="https://clinicaltrials.gov/study/NCT05905003" TargetMode="External"/><Relationship Id="rId1510" Type="http://schemas.openxmlformats.org/officeDocument/2006/relationships/hyperlink" Target="https://pubmed.ncbi.nlm.nih.gov/32686552" TargetMode="External"/><Relationship Id="rId1608" Type="http://schemas.openxmlformats.org/officeDocument/2006/relationships/hyperlink" Target="https://pubmed.ncbi.nlm.nih.gov/34428118" TargetMode="External"/><Relationship Id="rId1815" Type="http://schemas.openxmlformats.org/officeDocument/2006/relationships/hyperlink" Target="https://center6.umin.ac.jp/cgi-open-bin/ctr_e/ctr_view.cgi?recptno=R000051597" TargetMode="External"/><Relationship Id="rId189" Type="http://schemas.openxmlformats.org/officeDocument/2006/relationships/hyperlink" Target="https://clinicaltrials.gov/study/NCT04608032" TargetMode="External"/><Relationship Id="rId396" Type="http://schemas.openxmlformats.org/officeDocument/2006/relationships/hyperlink" Target="https://clinicaltrials.gov/study/NCT05968638" TargetMode="External"/><Relationship Id="rId256" Type="http://schemas.openxmlformats.org/officeDocument/2006/relationships/hyperlink" Target="https://clinicaltrials.gov/study/NCT05115604" TargetMode="External"/><Relationship Id="rId463" Type="http://schemas.openxmlformats.org/officeDocument/2006/relationships/hyperlink" Target="https://pubmed.ncbi.nlm.nih.gov/30167782" TargetMode="External"/><Relationship Id="rId670" Type="http://schemas.openxmlformats.org/officeDocument/2006/relationships/hyperlink" Target="https://pubmed.ncbi.nlm.nih.gov/33962354" TargetMode="External"/><Relationship Id="rId1093" Type="http://schemas.openxmlformats.org/officeDocument/2006/relationships/hyperlink" Target="https://clinicaltrials.gov/study/NCT04531982" TargetMode="External"/><Relationship Id="rId116" Type="http://schemas.openxmlformats.org/officeDocument/2006/relationships/hyperlink" Target="https://clinicaltrials.gov/study/NCT04118283" TargetMode="External"/><Relationship Id="rId323" Type="http://schemas.openxmlformats.org/officeDocument/2006/relationships/hyperlink" Target="https://clinicaltrials.gov/study/NCT05464563" TargetMode="External"/><Relationship Id="rId530" Type="http://schemas.openxmlformats.org/officeDocument/2006/relationships/hyperlink" Target="https://pubmed.ncbi.nlm.nih.gov/31759809" TargetMode="External"/><Relationship Id="rId768" Type="http://schemas.openxmlformats.org/officeDocument/2006/relationships/hyperlink" Target="https://pubmed.ncbi.nlm.nih.gov/35939920" TargetMode="External"/><Relationship Id="rId975" Type="http://schemas.openxmlformats.org/officeDocument/2006/relationships/hyperlink" Target="https://jrct.niph.go.jp/en-latest-detail/jRCTs031190197" TargetMode="External"/><Relationship Id="rId1160" Type="http://schemas.openxmlformats.org/officeDocument/2006/relationships/hyperlink" Target="https://clinicaltrials.gov/study/NCT05032963" TargetMode="External"/><Relationship Id="rId1398" Type="http://schemas.openxmlformats.org/officeDocument/2006/relationships/hyperlink" Target="https://pubmed.ncbi.nlm.nih.gov/31077519" TargetMode="External"/><Relationship Id="rId628" Type="http://schemas.openxmlformats.org/officeDocument/2006/relationships/hyperlink" Target="https://pubmed.ncbi.nlm.nih.gov/33210279" TargetMode="External"/><Relationship Id="rId835" Type="http://schemas.openxmlformats.org/officeDocument/2006/relationships/hyperlink" Target="https://pubmed.ncbi.nlm.nih.gov/37647498" TargetMode="External"/><Relationship Id="rId1258" Type="http://schemas.openxmlformats.org/officeDocument/2006/relationships/hyperlink" Target="https://clinicaltrials.gov/study/NCT05601050" TargetMode="External"/><Relationship Id="rId1465" Type="http://schemas.openxmlformats.org/officeDocument/2006/relationships/hyperlink" Target="https://pubmed.ncbi.nlm.nih.gov/32015461" TargetMode="External"/><Relationship Id="rId1672" Type="http://schemas.openxmlformats.org/officeDocument/2006/relationships/hyperlink" Target="https://pubmed.ncbi.nlm.nih.gov/35687858" TargetMode="External"/><Relationship Id="rId1020" Type="http://schemas.openxmlformats.org/officeDocument/2006/relationships/hyperlink" Target="https://clinicaltrials.gov/study/NCT04038957" TargetMode="External"/><Relationship Id="rId1118" Type="http://schemas.openxmlformats.org/officeDocument/2006/relationships/hyperlink" Target="https://clinicaltrials.gov/study/NCT04752449" TargetMode="External"/><Relationship Id="rId1325" Type="http://schemas.openxmlformats.org/officeDocument/2006/relationships/hyperlink" Target="https://clinicaltrials.gov/study/NCT06071858" TargetMode="External"/><Relationship Id="rId1532" Type="http://schemas.openxmlformats.org/officeDocument/2006/relationships/hyperlink" Target="https://pubmed.ncbi.nlm.nih.gov/33009905" TargetMode="External"/><Relationship Id="rId902" Type="http://schemas.openxmlformats.org/officeDocument/2006/relationships/hyperlink" Target="https://center6.umin.ac.jp/cgi-open-bin/ctr_e/ctr_view.cgi?recptno=R000053860" TargetMode="External"/><Relationship Id="rId1837" Type="http://schemas.openxmlformats.org/officeDocument/2006/relationships/hyperlink" Target="https://clinicaltrials.gov/study/NCT05770375" TargetMode="External"/><Relationship Id="rId31" Type="http://schemas.openxmlformats.org/officeDocument/2006/relationships/hyperlink" Target="https://www.isrctn.com/ISRCTN35980117" TargetMode="External"/><Relationship Id="rId180" Type="http://schemas.openxmlformats.org/officeDocument/2006/relationships/hyperlink" Target="https://clinicaltrials.gov/study/NCT04559529" TargetMode="External"/><Relationship Id="rId278" Type="http://schemas.openxmlformats.org/officeDocument/2006/relationships/hyperlink" Target="https://clinicaltrials.gov/study/NCT05227703" TargetMode="External"/><Relationship Id="rId1904" Type="http://schemas.openxmlformats.org/officeDocument/2006/relationships/hyperlink" Target="https://clinicaltrials.gov/study/NCT05839613" TargetMode="External"/><Relationship Id="rId485" Type="http://schemas.openxmlformats.org/officeDocument/2006/relationships/hyperlink" Target="https://pubmed.ncbi.nlm.nih.gov/31103018" TargetMode="External"/><Relationship Id="rId692" Type="http://schemas.openxmlformats.org/officeDocument/2006/relationships/hyperlink" Target="https://pubmed.ncbi.nlm.nih.gov/34410749" TargetMode="External"/><Relationship Id="rId138" Type="http://schemas.openxmlformats.org/officeDocument/2006/relationships/hyperlink" Target="https://clinicaltrials.gov/study/NCT04248517" TargetMode="External"/><Relationship Id="rId345" Type="http://schemas.openxmlformats.org/officeDocument/2006/relationships/hyperlink" Target="https://clinicaltrials.gov/study/NCT05628103" TargetMode="External"/><Relationship Id="rId552" Type="http://schemas.openxmlformats.org/officeDocument/2006/relationships/hyperlink" Target="https://pubmed.ncbi.nlm.nih.gov/32052567" TargetMode="External"/><Relationship Id="rId997" Type="http://schemas.openxmlformats.org/officeDocument/2006/relationships/hyperlink" Target="https://clinicaltrials.gov/study/NCT03919760" TargetMode="External"/><Relationship Id="rId1182" Type="http://schemas.openxmlformats.org/officeDocument/2006/relationships/hyperlink" Target="https://clinicaltrials.gov/study/NCT05179525" TargetMode="External"/><Relationship Id="rId205" Type="http://schemas.openxmlformats.org/officeDocument/2006/relationships/hyperlink" Target="https://clinicaltrials.gov/study/NCT04763655" TargetMode="External"/><Relationship Id="rId412" Type="http://schemas.openxmlformats.org/officeDocument/2006/relationships/hyperlink" Target="https://clinicaltrials.gov/study/NCT06107764" TargetMode="External"/><Relationship Id="rId857" Type="http://schemas.openxmlformats.org/officeDocument/2006/relationships/hyperlink" Target="https://pubmed.ncbi.nlm.nih.gov/38262165" TargetMode="External"/><Relationship Id="rId1042" Type="http://schemas.openxmlformats.org/officeDocument/2006/relationships/hyperlink" Target="https://clinicaltrials.gov/study/NCT04173572" TargetMode="External"/><Relationship Id="rId1487" Type="http://schemas.openxmlformats.org/officeDocument/2006/relationships/hyperlink" Target="https://pubmed.ncbi.nlm.nih.gov/32340927" TargetMode="External"/><Relationship Id="rId1694" Type="http://schemas.openxmlformats.org/officeDocument/2006/relationships/hyperlink" Target="https://pubmed.ncbi.nlm.nih.gov/36153555" TargetMode="External"/><Relationship Id="rId717" Type="http://schemas.openxmlformats.org/officeDocument/2006/relationships/hyperlink" Target="https://pubmed.ncbi.nlm.nih.gov/34861170" TargetMode="External"/><Relationship Id="rId924" Type="http://schemas.openxmlformats.org/officeDocument/2006/relationships/hyperlink" Target="https://drks.de/search/en/trial/DRKS00022351" TargetMode="External"/><Relationship Id="rId1347" Type="http://schemas.openxmlformats.org/officeDocument/2006/relationships/hyperlink" Target="https://clinicaltrials.gov/study/NCT06245213" TargetMode="External"/><Relationship Id="rId1554" Type="http://schemas.openxmlformats.org/officeDocument/2006/relationships/hyperlink" Target="https://pubmed.ncbi.nlm.nih.gov/33347024" TargetMode="External"/><Relationship Id="rId1761" Type="http://schemas.openxmlformats.org/officeDocument/2006/relationships/hyperlink" Target="https://pubmed.ncbi.nlm.nih.gov/37924833" TargetMode="External"/><Relationship Id="rId53" Type="http://schemas.openxmlformats.org/officeDocument/2006/relationships/hyperlink" Target="https://jrct.niph.go.jp/en-latest-detail/jRCT2031200288" TargetMode="External"/><Relationship Id="rId1207" Type="http://schemas.openxmlformats.org/officeDocument/2006/relationships/hyperlink" Target="https://clinicaltrials.gov/study/NCT05304767" TargetMode="External"/><Relationship Id="rId1414" Type="http://schemas.openxmlformats.org/officeDocument/2006/relationships/hyperlink" Target="https://pubmed.ncbi.nlm.nih.gov/31471246" TargetMode="External"/><Relationship Id="rId1621" Type="http://schemas.openxmlformats.org/officeDocument/2006/relationships/hyperlink" Target="https://pubmed.ncbi.nlm.nih.gov/34653740" TargetMode="External"/><Relationship Id="rId1859" Type="http://schemas.openxmlformats.org/officeDocument/2006/relationships/hyperlink" Target="https://clinicaltrials.gov/study/NCT05725785" TargetMode="External"/><Relationship Id="rId1719" Type="http://schemas.openxmlformats.org/officeDocument/2006/relationships/hyperlink" Target="https://pubmed.ncbi.nlm.nih.gov/36807126" TargetMode="External"/><Relationship Id="rId1926" Type="http://schemas.openxmlformats.org/officeDocument/2006/relationships/hyperlink" Target="https://pubmed.ncbi.nlm.nih.gov/32729631" TargetMode="External"/><Relationship Id="rId367" Type="http://schemas.openxmlformats.org/officeDocument/2006/relationships/hyperlink" Target="https://clinicaltrials.gov/study/NCT05741528" TargetMode="External"/><Relationship Id="rId574" Type="http://schemas.openxmlformats.org/officeDocument/2006/relationships/hyperlink" Target="https://pubmed.ncbi.nlm.nih.gov/32349835" TargetMode="External"/><Relationship Id="rId227" Type="http://schemas.openxmlformats.org/officeDocument/2006/relationships/hyperlink" Target="https://clinicaltrials.gov/study/NCT04895488" TargetMode="External"/><Relationship Id="rId781" Type="http://schemas.openxmlformats.org/officeDocument/2006/relationships/hyperlink" Target="https://pubmed.ncbi.nlm.nih.gov/36182772" TargetMode="External"/><Relationship Id="rId879" Type="http://schemas.openxmlformats.org/officeDocument/2006/relationships/hyperlink" Target="https://pubmed.ncbi.nlm.nih.gov/38769284" TargetMode="External"/><Relationship Id="rId434" Type="http://schemas.openxmlformats.org/officeDocument/2006/relationships/hyperlink" Target="https://clinicaltrials.gov/study/NCT06257056" TargetMode="External"/><Relationship Id="rId641" Type="http://schemas.openxmlformats.org/officeDocument/2006/relationships/hyperlink" Target="https://pubmed.ncbi.nlm.nih.gov/33434727" TargetMode="External"/><Relationship Id="rId739" Type="http://schemas.openxmlformats.org/officeDocument/2006/relationships/hyperlink" Target="https://pubmed.ncbi.nlm.nih.gov/35276716" TargetMode="External"/><Relationship Id="rId1064" Type="http://schemas.openxmlformats.org/officeDocument/2006/relationships/hyperlink" Target="https://clinicaltrials.gov/study/NCT04312503" TargetMode="External"/><Relationship Id="rId1271" Type="http://schemas.openxmlformats.org/officeDocument/2006/relationships/hyperlink" Target="https://clinicaltrials.gov/study/NCT05670197" TargetMode="External"/><Relationship Id="rId1369" Type="http://schemas.openxmlformats.org/officeDocument/2006/relationships/hyperlink" Target="https://clinicaltrials.gov/study/NCT06486584" TargetMode="External"/><Relationship Id="rId1576" Type="http://schemas.openxmlformats.org/officeDocument/2006/relationships/hyperlink" Target="https://pubmed.ncbi.nlm.nih.gov/33853701" TargetMode="External"/><Relationship Id="rId501" Type="http://schemas.openxmlformats.org/officeDocument/2006/relationships/hyperlink" Target="https://pubmed.ncbi.nlm.nih.gov/31481703" TargetMode="External"/><Relationship Id="rId946" Type="http://schemas.openxmlformats.org/officeDocument/2006/relationships/hyperlink" Target="https://www.isrctn.com/ISRCTN35980117" TargetMode="External"/><Relationship Id="rId1131" Type="http://schemas.openxmlformats.org/officeDocument/2006/relationships/hyperlink" Target="https://clinicaltrials.gov/study/NCT04825860" TargetMode="External"/><Relationship Id="rId1229" Type="http://schemas.openxmlformats.org/officeDocument/2006/relationships/hyperlink" Target="https://clinicaltrials.gov/study/NCT05406440" TargetMode="External"/><Relationship Id="rId1783" Type="http://schemas.openxmlformats.org/officeDocument/2006/relationships/hyperlink" Target="https://pubmed.ncbi.nlm.nih.gov/38527949" TargetMode="External"/><Relationship Id="rId75" Type="http://schemas.openxmlformats.org/officeDocument/2006/relationships/hyperlink" Target="https://clinicaltrials.gov/study/NCT03575000" TargetMode="External"/><Relationship Id="rId806" Type="http://schemas.openxmlformats.org/officeDocument/2006/relationships/hyperlink" Target="https://pubmed.ncbi.nlm.nih.gov/36883881" TargetMode="External"/><Relationship Id="rId1436" Type="http://schemas.openxmlformats.org/officeDocument/2006/relationships/hyperlink" Target="https://pubmed.ncbi.nlm.nih.gov/31688451" TargetMode="External"/><Relationship Id="rId1643" Type="http://schemas.openxmlformats.org/officeDocument/2006/relationships/hyperlink" Target="https://pubmed.ncbi.nlm.nih.gov/35037116" TargetMode="External"/><Relationship Id="rId1850" Type="http://schemas.openxmlformats.org/officeDocument/2006/relationships/hyperlink" Target="https://clinicaltrials.gov/study/NCT04432116" TargetMode="External"/><Relationship Id="rId1503" Type="http://schemas.openxmlformats.org/officeDocument/2006/relationships/hyperlink" Target="https://pubmed.ncbi.nlm.nih.gov/32613525" TargetMode="External"/><Relationship Id="rId1710" Type="http://schemas.openxmlformats.org/officeDocument/2006/relationships/hyperlink" Target="https://pubmed.ncbi.nlm.nih.gov/36577235" TargetMode="External"/><Relationship Id="rId291" Type="http://schemas.openxmlformats.org/officeDocument/2006/relationships/hyperlink" Target="https://clinicaltrials.gov/study/NCT05303064" TargetMode="External"/><Relationship Id="rId1808" Type="http://schemas.openxmlformats.org/officeDocument/2006/relationships/hyperlink" Target="https://center6.umin.ac.jp/cgi-open-bin/ctr_e/ctr_view.cgi?recptno=R000047114" TargetMode="External"/><Relationship Id="rId151" Type="http://schemas.openxmlformats.org/officeDocument/2006/relationships/hyperlink" Target="https://clinicaltrials.gov/study/NCT04321759" TargetMode="External"/><Relationship Id="rId389" Type="http://schemas.openxmlformats.org/officeDocument/2006/relationships/hyperlink" Target="https://clinicaltrials.gov/study/NCT05945602" TargetMode="External"/><Relationship Id="rId596" Type="http://schemas.openxmlformats.org/officeDocument/2006/relationships/hyperlink" Target="https://pubmed.ncbi.nlm.nih.gov/32693320" TargetMode="External"/><Relationship Id="rId249" Type="http://schemas.openxmlformats.org/officeDocument/2006/relationships/hyperlink" Target="https://clinicaltrials.gov/study/NCT05083377" TargetMode="External"/><Relationship Id="rId456" Type="http://schemas.openxmlformats.org/officeDocument/2006/relationships/hyperlink" Target="https://clinicaltrials.gov/study/NCT06494397" TargetMode="External"/><Relationship Id="rId663" Type="http://schemas.openxmlformats.org/officeDocument/2006/relationships/hyperlink" Target="https://pubmed.ncbi.nlm.nih.gov/33857028" TargetMode="External"/><Relationship Id="rId870" Type="http://schemas.openxmlformats.org/officeDocument/2006/relationships/hyperlink" Target="https://pubmed.ncbi.nlm.nih.gov/38537483" TargetMode="External"/><Relationship Id="rId1086" Type="http://schemas.openxmlformats.org/officeDocument/2006/relationships/hyperlink" Target="https://clinicaltrials.gov/study/NCT04481217" TargetMode="External"/><Relationship Id="rId1293" Type="http://schemas.openxmlformats.org/officeDocument/2006/relationships/hyperlink" Target="https://clinicaltrials.gov/study/NCT05838560" TargetMode="External"/><Relationship Id="rId109" Type="http://schemas.openxmlformats.org/officeDocument/2006/relationships/hyperlink" Target="https://clinicaltrials.gov/study/NCT04068857" TargetMode="External"/><Relationship Id="rId316" Type="http://schemas.openxmlformats.org/officeDocument/2006/relationships/hyperlink" Target="https://clinicaltrials.gov/study/NCT05435300" TargetMode="External"/><Relationship Id="rId523" Type="http://schemas.openxmlformats.org/officeDocument/2006/relationships/hyperlink" Target="https://pubmed.ncbi.nlm.nih.gov/31711448" TargetMode="External"/><Relationship Id="rId968" Type="http://schemas.openxmlformats.org/officeDocument/2006/relationships/hyperlink" Target="https://jrct.niph.go.jp/en-latest-detail/jRCT2031200288" TargetMode="External"/><Relationship Id="rId1153" Type="http://schemas.openxmlformats.org/officeDocument/2006/relationships/hyperlink" Target="https://clinicaltrials.gov/study/NCT04986072" TargetMode="External"/><Relationship Id="rId1598" Type="http://schemas.openxmlformats.org/officeDocument/2006/relationships/hyperlink" Target="https://pubmed.ncbi.nlm.nih.gov/34261408" TargetMode="External"/><Relationship Id="rId97" Type="http://schemas.openxmlformats.org/officeDocument/2006/relationships/hyperlink" Target="https://clinicaltrials.gov/study/NCT04013555" TargetMode="External"/><Relationship Id="rId730" Type="http://schemas.openxmlformats.org/officeDocument/2006/relationships/hyperlink" Target="https://pubmed.ncbi.nlm.nih.gov/35150309" TargetMode="External"/><Relationship Id="rId828" Type="http://schemas.openxmlformats.org/officeDocument/2006/relationships/hyperlink" Target="https://pubmed.ncbi.nlm.nih.gov/37442999" TargetMode="External"/><Relationship Id="rId1013" Type="http://schemas.openxmlformats.org/officeDocument/2006/relationships/hyperlink" Target="https://clinicaltrials.gov/study/NCT04024371" TargetMode="External"/><Relationship Id="rId1360" Type="http://schemas.openxmlformats.org/officeDocument/2006/relationships/hyperlink" Target="https://clinicaltrials.gov/study/NCT06372210" TargetMode="External"/><Relationship Id="rId1458" Type="http://schemas.openxmlformats.org/officeDocument/2006/relationships/hyperlink" Target="https://pubmed.ncbi.nlm.nih.gov/31883082" TargetMode="External"/><Relationship Id="rId1665" Type="http://schemas.openxmlformats.org/officeDocument/2006/relationships/hyperlink" Target="https://pubmed.ncbi.nlm.nih.gov/35569003" TargetMode="External"/><Relationship Id="rId1872" Type="http://schemas.openxmlformats.org/officeDocument/2006/relationships/hyperlink" Target="https://pubmed.ncbi.nlm.nih.gov/36076584" TargetMode="External"/><Relationship Id="rId1220" Type="http://schemas.openxmlformats.org/officeDocument/2006/relationships/hyperlink" Target="https://clinicaltrials.gov/study/NCT05345977" TargetMode="External"/><Relationship Id="rId1318" Type="http://schemas.openxmlformats.org/officeDocument/2006/relationships/hyperlink" Target="https://clinicaltrials.gov/study/NCT06036108" TargetMode="External"/><Relationship Id="rId1525" Type="http://schemas.openxmlformats.org/officeDocument/2006/relationships/hyperlink" Target="https://pubmed.ncbi.nlm.nih.gov/32930011" TargetMode="External"/><Relationship Id="rId1732" Type="http://schemas.openxmlformats.org/officeDocument/2006/relationships/hyperlink" Target="https://pubmed.ncbi.nlm.nih.gov/37010371" TargetMode="External"/><Relationship Id="rId24" Type="http://schemas.openxmlformats.org/officeDocument/2006/relationships/hyperlink" Target="https://drks.de/search/en/trial/DRKS00031680" TargetMode="External"/><Relationship Id="rId173" Type="http://schemas.openxmlformats.org/officeDocument/2006/relationships/hyperlink" Target="https://clinicaltrials.gov/study/NCT04506905" TargetMode="External"/><Relationship Id="rId380" Type="http://schemas.openxmlformats.org/officeDocument/2006/relationships/hyperlink" Target="https://clinicaltrials.gov/study/NCT05847192" TargetMode="External"/><Relationship Id="rId240" Type="http://schemas.openxmlformats.org/officeDocument/2006/relationships/hyperlink" Target="https://clinicaltrials.gov/study/NCT04987229" TargetMode="External"/><Relationship Id="rId478" Type="http://schemas.openxmlformats.org/officeDocument/2006/relationships/hyperlink" Target="https://pubmed.ncbi.nlm.nih.gov/30928978" TargetMode="External"/><Relationship Id="rId685" Type="http://schemas.openxmlformats.org/officeDocument/2006/relationships/hyperlink" Target="https://pubmed.ncbi.nlm.nih.gov/34289275" TargetMode="External"/><Relationship Id="rId892" Type="http://schemas.openxmlformats.org/officeDocument/2006/relationships/hyperlink" Target="https://center6.umin.ac.jp/cgi-open-bin/ctr_e/ctr_view.cgi?recptno=R000046914" TargetMode="External"/><Relationship Id="rId100" Type="http://schemas.openxmlformats.org/officeDocument/2006/relationships/hyperlink" Target="https://clinicaltrials.gov/study/NCT04025905" TargetMode="External"/><Relationship Id="rId338" Type="http://schemas.openxmlformats.org/officeDocument/2006/relationships/hyperlink" Target="https://clinicaltrials.gov/study/NCT05545111" TargetMode="External"/><Relationship Id="rId545" Type="http://schemas.openxmlformats.org/officeDocument/2006/relationships/hyperlink" Target="https://pubmed.ncbi.nlm.nih.gov/31927311" TargetMode="External"/><Relationship Id="rId752" Type="http://schemas.openxmlformats.org/officeDocument/2006/relationships/hyperlink" Target="https://pubmed.ncbi.nlm.nih.gov/35586878" TargetMode="External"/><Relationship Id="rId1175" Type="http://schemas.openxmlformats.org/officeDocument/2006/relationships/hyperlink" Target="https://clinicaltrials.gov/study/NCT05131035" TargetMode="External"/><Relationship Id="rId1382" Type="http://schemas.openxmlformats.org/officeDocument/2006/relationships/hyperlink" Target="https://pubmed.ncbi.nlm.nih.gov/30536081" TargetMode="External"/><Relationship Id="rId405" Type="http://schemas.openxmlformats.org/officeDocument/2006/relationships/hyperlink" Target="https://clinicaltrials.gov/study/NCT06041646" TargetMode="External"/><Relationship Id="rId612" Type="http://schemas.openxmlformats.org/officeDocument/2006/relationships/hyperlink" Target="https://pubmed.ncbi.nlm.nih.gov/32943079" TargetMode="External"/><Relationship Id="rId1035" Type="http://schemas.openxmlformats.org/officeDocument/2006/relationships/hyperlink" Target="https://clinicaltrials.gov/study/NCT04134871" TargetMode="External"/><Relationship Id="rId1242" Type="http://schemas.openxmlformats.org/officeDocument/2006/relationships/hyperlink" Target="https://clinicaltrials.gov/study/NCT05480826" TargetMode="External"/><Relationship Id="rId1687" Type="http://schemas.openxmlformats.org/officeDocument/2006/relationships/hyperlink" Target="https://pubmed.ncbi.nlm.nih.gov/36031616" TargetMode="External"/><Relationship Id="rId1894" Type="http://schemas.openxmlformats.org/officeDocument/2006/relationships/hyperlink" Target="https://clinicaltrials.gov/study/NCT04332601" TargetMode="External"/><Relationship Id="rId917" Type="http://schemas.openxmlformats.org/officeDocument/2006/relationships/hyperlink" Target="https://drks.de/search/en/trial/DRKS00017577" TargetMode="External"/><Relationship Id="rId1102" Type="http://schemas.openxmlformats.org/officeDocument/2006/relationships/hyperlink" Target="https://clinicaltrials.gov/study/NCT04590300" TargetMode="External"/><Relationship Id="rId1547" Type="http://schemas.openxmlformats.org/officeDocument/2006/relationships/hyperlink" Target="https://pubmed.ncbi.nlm.nih.gov/33258788" TargetMode="External"/><Relationship Id="rId1754" Type="http://schemas.openxmlformats.org/officeDocument/2006/relationships/hyperlink" Target="https://pubmed.ncbi.nlm.nih.gov/37696635" TargetMode="External"/><Relationship Id="rId46" Type="http://schemas.openxmlformats.org/officeDocument/2006/relationships/hyperlink" Target="https://jrct.niph.go.jp/en-latest-detail/jRCT1050210142" TargetMode="External"/><Relationship Id="rId1407" Type="http://schemas.openxmlformats.org/officeDocument/2006/relationships/hyperlink" Target="https://pubmed.ncbi.nlm.nih.gov/31376788" TargetMode="External"/><Relationship Id="rId1614" Type="http://schemas.openxmlformats.org/officeDocument/2006/relationships/hyperlink" Target="https://pubmed.ncbi.nlm.nih.gov/34551218" TargetMode="External"/><Relationship Id="rId1821" Type="http://schemas.openxmlformats.org/officeDocument/2006/relationships/hyperlink" Target="https://center6.umin.ac.jp/cgi-open-bin/ctr_e/ctr_view.cgi?recptno=R000057436" TargetMode="External"/><Relationship Id="rId195" Type="http://schemas.openxmlformats.org/officeDocument/2006/relationships/hyperlink" Target="https://clinicaltrials.gov/study/NCT04659174" TargetMode="External"/><Relationship Id="rId1919" Type="http://schemas.openxmlformats.org/officeDocument/2006/relationships/hyperlink" Target="https://pubmed.ncbi.nlm.nih.gov/31182351" TargetMode="External"/><Relationship Id="rId262" Type="http://schemas.openxmlformats.org/officeDocument/2006/relationships/hyperlink" Target="https://clinicaltrials.gov/study/NCT05140135" TargetMode="External"/><Relationship Id="rId567" Type="http://schemas.openxmlformats.org/officeDocument/2006/relationships/hyperlink" Target="https://pubmed.ncbi.nlm.nih.gov/32276953" TargetMode="External"/><Relationship Id="rId1197" Type="http://schemas.openxmlformats.org/officeDocument/2006/relationships/hyperlink" Target="https://clinicaltrials.gov/study/NCT05259306" TargetMode="External"/><Relationship Id="rId122" Type="http://schemas.openxmlformats.org/officeDocument/2006/relationships/hyperlink" Target="https://clinicaltrials.gov/study/NCT04141540" TargetMode="External"/><Relationship Id="rId774" Type="http://schemas.openxmlformats.org/officeDocument/2006/relationships/hyperlink" Target="https://pubmed.ncbi.nlm.nih.gov/36037322" TargetMode="External"/><Relationship Id="rId981" Type="http://schemas.openxmlformats.org/officeDocument/2006/relationships/hyperlink" Target="https://jrct.niph.go.jp/en-latest-detail/jRCTs032200028" TargetMode="External"/><Relationship Id="rId1057" Type="http://schemas.openxmlformats.org/officeDocument/2006/relationships/hyperlink" Target="https://clinicaltrials.gov/study/NCT04278339" TargetMode="External"/><Relationship Id="rId427" Type="http://schemas.openxmlformats.org/officeDocument/2006/relationships/hyperlink" Target="https://clinicaltrials.gov/study/NCT06208176" TargetMode="External"/><Relationship Id="rId634" Type="http://schemas.openxmlformats.org/officeDocument/2006/relationships/hyperlink" Target="https://pubmed.ncbi.nlm.nih.gov/33279374" TargetMode="External"/><Relationship Id="rId841" Type="http://schemas.openxmlformats.org/officeDocument/2006/relationships/hyperlink" Target="https://pubmed.ncbi.nlm.nih.gov/37732853" TargetMode="External"/><Relationship Id="rId1264" Type="http://schemas.openxmlformats.org/officeDocument/2006/relationships/hyperlink" Target="https://clinicaltrials.gov/study/NCT05654870" TargetMode="External"/><Relationship Id="rId1471" Type="http://schemas.openxmlformats.org/officeDocument/2006/relationships/hyperlink" Target="https://pubmed.ncbi.nlm.nih.gov/32107101" TargetMode="External"/><Relationship Id="rId1569" Type="http://schemas.openxmlformats.org/officeDocument/2006/relationships/hyperlink" Target="https://pubmed.ncbi.nlm.nih.gov/33711781" TargetMode="External"/><Relationship Id="rId701" Type="http://schemas.openxmlformats.org/officeDocument/2006/relationships/hyperlink" Target="https://pubmed.ncbi.nlm.nih.gov/34570061" TargetMode="External"/><Relationship Id="rId939" Type="http://schemas.openxmlformats.org/officeDocument/2006/relationships/hyperlink" Target="https://drks.de/search/en/trial/DRKS00031680" TargetMode="External"/><Relationship Id="rId1124" Type="http://schemas.openxmlformats.org/officeDocument/2006/relationships/hyperlink" Target="https://clinicaltrials.gov/study/NCT04783246" TargetMode="External"/><Relationship Id="rId1331" Type="http://schemas.openxmlformats.org/officeDocument/2006/relationships/hyperlink" Target="https://clinicaltrials.gov/study/NCT06136390" TargetMode="External"/><Relationship Id="rId1776" Type="http://schemas.openxmlformats.org/officeDocument/2006/relationships/hyperlink" Target="https://pubmed.ncbi.nlm.nih.gov/38372704" TargetMode="External"/><Relationship Id="rId68" Type="http://schemas.openxmlformats.org/officeDocument/2006/relationships/hyperlink" Target="https://jrct.niph.go.jp/en-latest-detail/jRCTs032210197" TargetMode="External"/><Relationship Id="rId1429" Type="http://schemas.openxmlformats.org/officeDocument/2006/relationships/hyperlink" Target="https://pubmed.ncbi.nlm.nih.gov/31648842" TargetMode="External"/><Relationship Id="rId1636" Type="http://schemas.openxmlformats.org/officeDocument/2006/relationships/hyperlink" Target="https://pubmed.ncbi.nlm.nih.gov/34934115" TargetMode="External"/><Relationship Id="rId1843" Type="http://schemas.openxmlformats.org/officeDocument/2006/relationships/hyperlink" Target="https://clinicaltrials.gov/study/NCT05731414" TargetMode="External"/><Relationship Id="rId1703" Type="http://schemas.openxmlformats.org/officeDocument/2006/relationships/hyperlink" Target="https://pubmed.ncbi.nlm.nih.gov/36424289" TargetMode="External"/><Relationship Id="rId1910" Type="http://schemas.openxmlformats.org/officeDocument/2006/relationships/hyperlink" Target="https://clinicaltrials.gov/study/NCT06361407" TargetMode="External"/><Relationship Id="rId284" Type="http://schemas.openxmlformats.org/officeDocument/2006/relationships/hyperlink" Target="https://clinicaltrials.gov/study/NCT05273164" TargetMode="External"/><Relationship Id="rId491" Type="http://schemas.openxmlformats.org/officeDocument/2006/relationships/hyperlink" Target="https://pubmed.ncbi.nlm.nih.gov/31375316" TargetMode="External"/><Relationship Id="rId144" Type="http://schemas.openxmlformats.org/officeDocument/2006/relationships/hyperlink" Target="https://clinicaltrials.gov/study/NCT04294719" TargetMode="External"/><Relationship Id="rId589" Type="http://schemas.openxmlformats.org/officeDocument/2006/relationships/hyperlink" Target="https://pubmed.ncbi.nlm.nih.gov/32614046" TargetMode="External"/><Relationship Id="rId796" Type="http://schemas.openxmlformats.org/officeDocument/2006/relationships/hyperlink" Target="https://pubmed.ncbi.nlm.nih.gov/36660915" TargetMode="External"/><Relationship Id="rId351" Type="http://schemas.openxmlformats.org/officeDocument/2006/relationships/hyperlink" Target="https://clinicaltrials.gov/study/NCT05660018" TargetMode="External"/><Relationship Id="rId449" Type="http://schemas.openxmlformats.org/officeDocument/2006/relationships/hyperlink" Target="https://clinicaltrials.gov/study/NCT06389266" TargetMode="External"/><Relationship Id="rId656" Type="http://schemas.openxmlformats.org/officeDocument/2006/relationships/hyperlink" Target="https://pubmed.ncbi.nlm.nih.gov/33753755" TargetMode="External"/><Relationship Id="rId863" Type="http://schemas.openxmlformats.org/officeDocument/2006/relationships/hyperlink" Target="https://pubmed.ncbi.nlm.nih.gov/38388986" TargetMode="External"/><Relationship Id="rId1079" Type="http://schemas.openxmlformats.org/officeDocument/2006/relationships/hyperlink" Target="https://clinicaltrials.gov/study/NCT04418466" TargetMode="External"/><Relationship Id="rId1286" Type="http://schemas.openxmlformats.org/officeDocument/2006/relationships/hyperlink" Target="https://clinicaltrials.gov/study/NCT05748990" TargetMode="External"/><Relationship Id="rId1493" Type="http://schemas.openxmlformats.org/officeDocument/2006/relationships/hyperlink" Target="https://pubmed.ncbi.nlm.nih.gov/32403118" TargetMode="External"/><Relationship Id="rId211" Type="http://schemas.openxmlformats.org/officeDocument/2006/relationships/hyperlink" Target="https://clinicaltrials.gov/study/NCT04787302" TargetMode="External"/><Relationship Id="rId309" Type="http://schemas.openxmlformats.org/officeDocument/2006/relationships/hyperlink" Target="https://clinicaltrials.gov/study/NCT05359081" TargetMode="External"/><Relationship Id="rId516" Type="http://schemas.openxmlformats.org/officeDocument/2006/relationships/hyperlink" Target="https://pubmed.ncbi.nlm.nih.gov/31652166" TargetMode="External"/><Relationship Id="rId1146" Type="http://schemas.openxmlformats.org/officeDocument/2006/relationships/hyperlink" Target="https://clinicaltrials.gov/study/NCT04940663" TargetMode="External"/><Relationship Id="rId1798" Type="http://schemas.openxmlformats.org/officeDocument/2006/relationships/hyperlink" Target="https://pubmed.ncbi.nlm.nih.gov/39018073" TargetMode="External"/><Relationship Id="rId723" Type="http://schemas.openxmlformats.org/officeDocument/2006/relationships/hyperlink" Target="https://pubmed.ncbi.nlm.nih.gov/34983438" TargetMode="External"/><Relationship Id="rId930" Type="http://schemas.openxmlformats.org/officeDocument/2006/relationships/hyperlink" Target="https://drks.de/search/en/trial/DRKS00025907" TargetMode="External"/><Relationship Id="rId1006" Type="http://schemas.openxmlformats.org/officeDocument/2006/relationships/hyperlink" Target="https://clinicaltrials.gov/study/NCT03999112" TargetMode="External"/><Relationship Id="rId1353" Type="http://schemas.openxmlformats.org/officeDocument/2006/relationships/hyperlink" Target="https://clinicaltrials.gov/study/NCT06315049" TargetMode="External"/><Relationship Id="rId1560" Type="http://schemas.openxmlformats.org/officeDocument/2006/relationships/hyperlink" Target="https://pubmed.ncbi.nlm.nih.gov/33551284" TargetMode="External"/><Relationship Id="rId1658" Type="http://schemas.openxmlformats.org/officeDocument/2006/relationships/hyperlink" Target="https://pubmed.ncbi.nlm.nih.gov/35421287" TargetMode="External"/><Relationship Id="rId1865" Type="http://schemas.openxmlformats.org/officeDocument/2006/relationships/hyperlink" Target="https://pubmed.ncbi.nlm.nih.gov/34059401" TargetMode="External"/><Relationship Id="rId1213" Type="http://schemas.openxmlformats.org/officeDocument/2006/relationships/hyperlink" Target="https://clinicaltrials.gov/study/NCT05329363" TargetMode="External"/><Relationship Id="rId1420" Type="http://schemas.openxmlformats.org/officeDocument/2006/relationships/hyperlink" Target="https://pubmed.ncbi.nlm.nih.gov/31520149" TargetMode="External"/><Relationship Id="rId1518" Type="http://schemas.openxmlformats.org/officeDocument/2006/relationships/hyperlink" Target="https://pubmed.ncbi.nlm.nih.gov/32841554" TargetMode="External"/><Relationship Id="rId1725" Type="http://schemas.openxmlformats.org/officeDocument/2006/relationships/hyperlink" Target="https://pubmed.ncbi.nlm.nih.gov/36928351" TargetMode="External"/><Relationship Id="rId1932" Type="http://schemas.openxmlformats.org/officeDocument/2006/relationships/hyperlink" Target="https://pubmed.ncbi.nlm.nih.gov/35038407" TargetMode="External"/><Relationship Id="rId17" Type="http://schemas.openxmlformats.org/officeDocument/2006/relationships/hyperlink" Target="https://drks.de/search/en/trial/DRKS00026231" TargetMode="External"/><Relationship Id="rId166" Type="http://schemas.openxmlformats.org/officeDocument/2006/relationships/hyperlink" Target="https://clinicaltrials.gov/study/NCT04436757" TargetMode="External"/><Relationship Id="rId373" Type="http://schemas.openxmlformats.org/officeDocument/2006/relationships/hyperlink" Target="https://clinicaltrials.gov/study/NCT05779241" TargetMode="External"/><Relationship Id="rId580" Type="http://schemas.openxmlformats.org/officeDocument/2006/relationships/hyperlink" Target="https://pubmed.ncbi.nlm.nih.gov/32448677" TargetMode="External"/><Relationship Id="rId1" Type="http://schemas.openxmlformats.org/officeDocument/2006/relationships/hyperlink" Target="https://drks.de/search/en/trial/DRKS00017055" TargetMode="External"/><Relationship Id="rId233" Type="http://schemas.openxmlformats.org/officeDocument/2006/relationships/hyperlink" Target="https://clinicaltrials.gov/study/NCT04951700" TargetMode="External"/><Relationship Id="rId440" Type="http://schemas.openxmlformats.org/officeDocument/2006/relationships/hyperlink" Target="https://clinicaltrials.gov/study/NCT06319170" TargetMode="External"/><Relationship Id="rId678" Type="http://schemas.openxmlformats.org/officeDocument/2006/relationships/hyperlink" Target="https://pubmed.ncbi.nlm.nih.gov/34126426" TargetMode="External"/><Relationship Id="rId885" Type="http://schemas.openxmlformats.org/officeDocument/2006/relationships/hyperlink" Target="https://pubmed.ncbi.nlm.nih.gov/39054763" TargetMode="External"/><Relationship Id="rId1070" Type="http://schemas.openxmlformats.org/officeDocument/2006/relationships/hyperlink" Target="https://clinicaltrials.gov/study/NCT04338152" TargetMode="External"/><Relationship Id="rId300" Type="http://schemas.openxmlformats.org/officeDocument/2006/relationships/hyperlink" Target="https://clinicaltrials.gov/study/NCT05337904" TargetMode="External"/><Relationship Id="rId538" Type="http://schemas.openxmlformats.org/officeDocument/2006/relationships/hyperlink" Target="https://pubmed.ncbi.nlm.nih.gov/31837056" TargetMode="External"/><Relationship Id="rId745" Type="http://schemas.openxmlformats.org/officeDocument/2006/relationships/hyperlink" Target="https://pubmed.ncbi.nlm.nih.gov/35438649" TargetMode="External"/><Relationship Id="rId952" Type="http://schemas.openxmlformats.org/officeDocument/2006/relationships/hyperlink" Target="https://www.isrctn.com/ISRCTN93382525" TargetMode="External"/><Relationship Id="rId1168" Type="http://schemas.openxmlformats.org/officeDocument/2006/relationships/hyperlink" Target="https://clinicaltrials.gov/study/NCT05109065" TargetMode="External"/><Relationship Id="rId1375" Type="http://schemas.openxmlformats.org/officeDocument/2006/relationships/hyperlink" Target="https://pubmed.ncbi.nlm.nih.gov/29212415" TargetMode="External"/><Relationship Id="rId1582" Type="http://schemas.openxmlformats.org/officeDocument/2006/relationships/hyperlink" Target="https://pubmed.ncbi.nlm.nih.gov/33902519" TargetMode="External"/><Relationship Id="rId81" Type="http://schemas.openxmlformats.org/officeDocument/2006/relationships/hyperlink" Target="https://clinicaltrials.gov/study/NCT03911726" TargetMode="External"/><Relationship Id="rId605" Type="http://schemas.openxmlformats.org/officeDocument/2006/relationships/hyperlink" Target="https://pubmed.ncbi.nlm.nih.gov/32854568" TargetMode="External"/><Relationship Id="rId812" Type="http://schemas.openxmlformats.org/officeDocument/2006/relationships/hyperlink" Target="https://pubmed.ncbi.nlm.nih.gov/36946605" TargetMode="External"/><Relationship Id="rId1028" Type="http://schemas.openxmlformats.org/officeDocument/2006/relationships/hyperlink" Target="https://clinicaltrials.gov/study/NCT04109950" TargetMode="External"/><Relationship Id="rId1235" Type="http://schemas.openxmlformats.org/officeDocument/2006/relationships/hyperlink" Target="https://clinicaltrials.gov/study/NCT05457127" TargetMode="External"/><Relationship Id="rId1442" Type="http://schemas.openxmlformats.org/officeDocument/2006/relationships/hyperlink" Target="https://pubmed.ncbi.nlm.nih.gov/31744146" TargetMode="External"/><Relationship Id="rId1887" Type="http://schemas.openxmlformats.org/officeDocument/2006/relationships/hyperlink" Target="https://www.clinicaltrialsregister.eu/ctr-search/trial/2022-001515-10/ES" TargetMode="External"/><Relationship Id="rId1302" Type="http://schemas.openxmlformats.org/officeDocument/2006/relationships/hyperlink" Target="https://clinicaltrials.gov/study/NCT05899348" TargetMode="External"/><Relationship Id="rId1747" Type="http://schemas.openxmlformats.org/officeDocument/2006/relationships/hyperlink" Target="https://pubmed.ncbi.nlm.nih.gov/37532985" TargetMode="External"/><Relationship Id="rId39" Type="http://schemas.openxmlformats.org/officeDocument/2006/relationships/hyperlink" Target="https://jrct.niph.go.jp/en-latest-detail/jRCT1030210514" TargetMode="External"/><Relationship Id="rId1607" Type="http://schemas.openxmlformats.org/officeDocument/2006/relationships/hyperlink" Target="https://pubmed.ncbi.nlm.nih.gov/34410749" TargetMode="External"/><Relationship Id="rId1814" Type="http://schemas.openxmlformats.org/officeDocument/2006/relationships/hyperlink" Target="https://center6.umin.ac.jp/cgi-open-bin/ctr_e/ctr_view.cgi?recptno=R000051494" TargetMode="External"/><Relationship Id="rId188" Type="http://schemas.openxmlformats.org/officeDocument/2006/relationships/hyperlink" Target="https://clinicaltrials.gov/study/NCT04602741" TargetMode="External"/><Relationship Id="rId395" Type="http://schemas.openxmlformats.org/officeDocument/2006/relationships/hyperlink" Target="https://clinicaltrials.gov/study/NCT05966610" TargetMode="External"/><Relationship Id="rId255" Type="http://schemas.openxmlformats.org/officeDocument/2006/relationships/hyperlink" Target="https://clinicaltrials.gov/study/NCT05111548" TargetMode="External"/><Relationship Id="rId462" Type="http://schemas.openxmlformats.org/officeDocument/2006/relationships/hyperlink" Target="https://pubmed.ncbi.nlm.nih.gov/30109845" TargetMode="External"/><Relationship Id="rId1092" Type="http://schemas.openxmlformats.org/officeDocument/2006/relationships/hyperlink" Target="https://clinicaltrials.gov/study/NCT04526067" TargetMode="External"/><Relationship Id="rId1397" Type="http://schemas.openxmlformats.org/officeDocument/2006/relationships/hyperlink" Target="https://pubmed.ncbi.nlm.nih.gov/31041855" TargetMode="External"/><Relationship Id="rId115" Type="http://schemas.openxmlformats.org/officeDocument/2006/relationships/hyperlink" Target="https://clinicaltrials.gov/study/NCT04118127" TargetMode="External"/><Relationship Id="rId322" Type="http://schemas.openxmlformats.org/officeDocument/2006/relationships/hyperlink" Target="https://clinicaltrials.gov/study/NCT05463770" TargetMode="External"/><Relationship Id="rId767" Type="http://schemas.openxmlformats.org/officeDocument/2006/relationships/hyperlink" Target="https://pubmed.ncbi.nlm.nih.gov/35932309" TargetMode="External"/><Relationship Id="rId974" Type="http://schemas.openxmlformats.org/officeDocument/2006/relationships/hyperlink" Target="https://jrct.niph.go.jp/en-latest-detail/jRCT2071210040" TargetMode="External"/><Relationship Id="rId627" Type="http://schemas.openxmlformats.org/officeDocument/2006/relationships/hyperlink" Target="https://pubmed.ncbi.nlm.nih.gov/33208710" TargetMode="External"/><Relationship Id="rId834" Type="http://schemas.openxmlformats.org/officeDocument/2006/relationships/hyperlink" Target="https://pubmed.ncbi.nlm.nih.gov/37625246" TargetMode="External"/><Relationship Id="rId1257" Type="http://schemas.openxmlformats.org/officeDocument/2006/relationships/hyperlink" Target="https://clinicaltrials.gov/study/NCT05580211" TargetMode="External"/><Relationship Id="rId1464" Type="http://schemas.openxmlformats.org/officeDocument/2006/relationships/hyperlink" Target="https://pubmed.ncbi.nlm.nih.gov/32007346" TargetMode="External"/><Relationship Id="rId1671" Type="http://schemas.openxmlformats.org/officeDocument/2006/relationships/hyperlink" Target="https://pubmed.ncbi.nlm.nih.gov/35686351" TargetMode="External"/><Relationship Id="rId901" Type="http://schemas.openxmlformats.org/officeDocument/2006/relationships/hyperlink" Target="https://center6.umin.ac.jp/cgi-open-bin/ctr_e/ctr_view.cgi?recptno=R000051321" TargetMode="External"/><Relationship Id="rId1117" Type="http://schemas.openxmlformats.org/officeDocument/2006/relationships/hyperlink" Target="https://clinicaltrials.gov/study/NCT04748679" TargetMode="External"/><Relationship Id="rId1324" Type="http://schemas.openxmlformats.org/officeDocument/2006/relationships/hyperlink" Target="https://clinicaltrials.gov/study/NCT06067984" TargetMode="External"/><Relationship Id="rId1531" Type="http://schemas.openxmlformats.org/officeDocument/2006/relationships/hyperlink" Target="https://pubmed.ncbi.nlm.nih.gov/33002684" TargetMode="External"/><Relationship Id="rId1769" Type="http://schemas.openxmlformats.org/officeDocument/2006/relationships/hyperlink" Target="https://pubmed.ncbi.nlm.nih.gov/38218952" TargetMode="External"/><Relationship Id="rId30" Type="http://schemas.openxmlformats.org/officeDocument/2006/relationships/hyperlink" Target="https://www.isrctn.com/ISRCTN21141466" TargetMode="External"/><Relationship Id="rId1629" Type="http://schemas.openxmlformats.org/officeDocument/2006/relationships/hyperlink" Target="https://pubmed.ncbi.nlm.nih.gov/34814232" TargetMode="External"/><Relationship Id="rId1836" Type="http://schemas.openxmlformats.org/officeDocument/2006/relationships/hyperlink" Target="https://clinicaltrials.gov/study/NCT06155682" TargetMode="External"/><Relationship Id="rId1903" Type="http://schemas.openxmlformats.org/officeDocument/2006/relationships/hyperlink" Target="https://clinicaltrials.gov/study/NCT05823805" TargetMode="External"/><Relationship Id="rId277" Type="http://schemas.openxmlformats.org/officeDocument/2006/relationships/hyperlink" Target="https://clinicaltrials.gov/study/NCT05227690" TargetMode="External"/><Relationship Id="rId484" Type="http://schemas.openxmlformats.org/officeDocument/2006/relationships/hyperlink" Target="https://pubmed.ncbi.nlm.nih.gov/31077729" TargetMode="External"/><Relationship Id="rId137" Type="http://schemas.openxmlformats.org/officeDocument/2006/relationships/hyperlink" Target="https://clinicaltrials.gov/study/NCT04237155" TargetMode="External"/><Relationship Id="rId344" Type="http://schemas.openxmlformats.org/officeDocument/2006/relationships/hyperlink" Target="https://clinicaltrials.gov/study/NCT05601063" TargetMode="External"/><Relationship Id="rId691" Type="http://schemas.openxmlformats.org/officeDocument/2006/relationships/hyperlink" Target="https://pubmed.ncbi.nlm.nih.gov/34404290" TargetMode="External"/><Relationship Id="rId789" Type="http://schemas.openxmlformats.org/officeDocument/2006/relationships/hyperlink" Target="https://pubmed.ncbi.nlm.nih.gov/36462184" TargetMode="External"/><Relationship Id="rId996" Type="http://schemas.openxmlformats.org/officeDocument/2006/relationships/hyperlink" Target="https://clinicaltrials.gov/study/NCT03911726" TargetMode="External"/><Relationship Id="rId551" Type="http://schemas.openxmlformats.org/officeDocument/2006/relationships/hyperlink" Target="https://pubmed.ncbi.nlm.nih.gov/32036587" TargetMode="External"/><Relationship Id="rId649" Type="http://schemas.openxmlformats.org/officeDocument/2006/relationships/hyperlink" Target="https://pubmed.ncbi.nlm.nih.gov/33608711" TargetMode="External"/><Relationship Id="rId856" Type="http://schemas.openxmlformats.org/officeDocument/2006/relationships/hyperlink" Target="https://pubmed.ncbi.nlm.nih.gov/38253334" TargetMode="External"/><Relationship Id="rId1181" Type="http://schemas.openxmlformats.org/officeDocument/2006/relationships/hyperlink" Target="https://clinicaltrials.gov/study/NCT05167396" TargetMode="External"/><Relationship Id="rId1279" Type="http://schemas.openxmlformats.org/officeDocument/2006/relationships/hyperlink" Target="https://clinicaltrials.gov/study/NCT05724810" TargetMode="External"/><Relationship Id="rId1486" Type="http://schemas.openxmlformats.org/officeDocument/2006/relationships/hyperlink" Target="https://pubmed.ncbi.nlm.nih.gov/32332475" TargetMode="External"/><Relationship Id="rId204" Type="http://schemas.openxmlformats.org/officeDocument/2006/relationships/hyperlink" Target="https://clinicaltrials.gov/study/NCT04756388" TargetMode="External"/><Relationship Id="rId411" Type="http://schemas.openxmlformats.org/officeDocument/2006/relationships/hyperlink" Target="https://clinicaltrials.gov/study/NCT06093451" TargetMode="External"/><Relationship Id="rId509" Type="http://schemas.openxmlformats.org/officeDocument/2006/relationships/hyperlink" Target="https://pubmed.ncbi.nlm.nih.gov/31617873" TargetMode="External"/><Relationship Id="rId1041" Type="http://schemas.openxmlformats.org/officeDocument/2006/relationships/hyperlink" Target="https://clinicaltrials.gov/study/NCT04159662" TargetMode="External"/><Relationship Id="rId1139" Type="http://schemas.openxmlformats.org/officeDocument/2006/relationships/hyperlink" Target="https://clinicaltrials.gov/study/NCT04870710" TargetMode="External"/><Relationship Id="rId1346" Type="http://schemas.openxmlformats.org/officeDocument/2006/relationships/hyperlink" Target="https://clinicaltrials.gov/study/NCT06236048" TargetMode="External"/><Relationship Id="rId1693" Type="http://schemas.openxmlformats.org/officeDocument/2006/relationships/hyperlink" Target="https://pubmed.ncbi.nlm.nih.gov/36122444" TargetMode="External"/><Relationship Id="rId716" Type="http://schemas.openxmlformats.org/officeDocument/2006/relationships/hyperlink" Target="https://pubmed.ncbi.nlm.nih.gov/34847501" TargetMode="External"/><Relationship Id="rId923" Type="http://schemas.openxmlformats.org/officeDocument/2006/relationships/hyperlink" Target="https://drks.de/search/en/trial/DRKS00022214" TargetMode="External"/><Relationship Id="rId1553" Type="http://schemas.openxmlformats.org/officeDocument/2006/relationships/hyperlink" Target="https://pubmed.ncbi.nlm.nih.gov/33340522" TargetMode="External"/><Relationship Id="rId1760" Type="http://schemas.openxmlformats.org/officeDocument/2006/relationships/hyperlink" Target="https://pubmed.ncbi.nlm.nih.gov/37903861" TargetMode="External"/><Relationship Id="rId1858" Type="http://schemas.openxmlformats.org/officeDocument/2006/relationships/hyperlink" Target="https://clinicaltrials.gov/study/NCT06184165" TargetMode="External"/><Relationship Id="rId52" Type="http://schemas.openxmlformats.org/officeDocument/2006/relationships/hyperlink" Target="https://jrct.niph.go.jp/en-latest-detail/jRCT2031200287" TargetMode="External"/><Relationship Id="rId1206" Type="http://schemas.openxmlformats.org/officeDocument/2006/relationships/hyperlink" Target="https://clinicaltrials.gov/study/NCT05303064" TargetMode="External"/><Relationship Id="rId1413" Type="http://schemas.openxmlformats.org/officeDocument/2006/relationships/hyperlink" Target="https://pubmed.ncbi.nlm.nih.gov/31463563" TargetMode="External"/><Relationship Id="rId1620" Type="http://schemas.openxmlformats.org/officeDocument/2006/relationships/hyperlink" Target="https://pubmed.ncbi.nlm.nih.gov/34649083" TargetMode="External"/><Relationship Id="rId1718" Type="http://schemas.openxmlformats.org/officeDocument/2006/relationships/hyperlink" Target="https://pubmed.ncbi.nlm.nih.gov/36804071" TargetMode="External"/><Relationship Id="rId1925" Type="http://schemas.openxmlformats.org/officeDocument/2006/relationships/hyperlink" Target="https://pubmed.ncbi.nlm.nih.gov/32279541" TargetMode="External"/><Relationship Id="rId299" Type="http://schemas.openxmlformats.org/officeDocument/2006/relationships/hyperlink" Target="https://clinicaltrials.gov/study/NCT05333003" TargetMode="External"/><Relationship Id="rId159" Type="http://schemas.openxmlformats.org/officeDocument/2006/relationships/hyperlink" Target="https://clinicaltrials.gov/study/NCT04395157" TargetMode="External"/><Relationship Id="rId366" Type="http://schemas.openxmlformats.org/officeDocument/2006/relationships/hyperlink" Target="https://clinicaltrials.gov/study/NCT05741502" TargetMode="External"/><Relationship Id="rId573" Type="http://schemas.openxmlformats.org/officeDocument/2006/relationships/hyperlink" Target="https://pubmed.ncbi.nlm.nih.gov/32349117" TargetMode="External"/><Relationship Id="rId780" Type="http://schemas.openxmlformats.org/officeDocument/2006/relationships/hyperlink" Target="https://pubmed.ncbi.nlm.nih.gov/36154947" TargetMode="External"/><Relationship Id="rId226" Type="http://schemas.openxmlformats.org/officeDocument/2006/relationships/hyperlink" Target="https://clinicaltrials.gov/study/NCT04887792" TargetMode="External"/><Relationship Id="rId433" Type="http://schemas.openxmlformats.org/officeDocument/2006/relationships/hyperlink" Target="https://clinicaltrials.gov/study/NCT06251193" TargetMode="External"/><Relationship Id="rId878" Type="http://schemas.openxmlformats.org/officeDocument/2006/relationships/hyperlink" Target="https://pubmed.ncbi.nlm.nih.gov/38750386" TargetMode="External"/><Relationship Id="rId1063" Type="http://schemas.openxmlformats.org/officeDocument/2006/relationships/hyperlink" Target="https://clinicaltrials.gov/study/NCT04309435" TargetMode="External"/><Relationship Id="rId1270" Type="http://schemas.openxmlformats.org/officeDocument/2006/relationships/hyperlink" Target="https://clinicaltrials.gov/study/NCT05664594" TargetMode="External"/><Relationship Id="rId640" Type="http://schemas.openxmlformats.org/officeDocument/2006/relationships/hyperlink" Target="https://pubmed.ncbi.nlm.nih.gov/33389108" TargetMode="External"/><Relationship Id="rId738" Type="http://schemas.openxmlformats.org/officeDocument/2006/relationships/hyperlink" Target="https://pubmed.ncbi.nlm.nih.gov/35276079" TargetMode="External"/><Relationship Id="rId945" Type="http://schemas.openxmlformats.org/officeDocument/2006/relationships/hyperlink" Target="https://www.isrctn.com/ISRCTN21141466" TargetMode="External"/><Relationship Id="rId1368" Type="http://schemas.openxmlformats.org/officeDocument/2006/relationships/hyperlink" Target="https://clinicaltrials.gov/study/NCT06482554" TargetMode="External"/><Relationship Id="rId1575" Type="http://schemas.openxmlformats.org/officeDocument/2006/relationships/hyperlink" Target="https://pubmed.ncbi.nlm.nih.gov/33849683" TargetMode="External"/><Relationship Id="rId1782" Type="http://schemas.openxmlformats.org/officeDocument/2006/relationships/hyperlink" Target="https://pubmed.ncbi.nlm.nih.gov/38493362" TargetMode="External"/><Relationship Id="rId74" Type="http://schemas.openxmlformats.org/officeDocument/2006/relationships/hyperlink" Target="https://clinicaltrials.gov/study/NCT02670447" TargetMode="External"/><Relationship Id="rId500" Type="http://schemas.openxmlformats.org/officeDocument/2006/relationships/hyperlink" Target="https://pubmed.ncbi.nlm.nih.gov/31477061" TargetMode="External"/><Relationship Id="rId805" Type="http://schemas.openxmlformats.org/officeDocument/2006/relationships/hyperlink" Target="https://pubmed.ncbi.nlm.nih.gov/36856480" TargetMode="External"/><Relationship Id="rId1130" Type="http://schemas.openxmlformats.org/officeDocument/2006/relationships/hyperlink" Target="https://clinicaltrials.gov/study/NCT04822883" TargetMode="External"/><Relationship Id="rId1228" Type="http://schemas.openxmlformats.org/officeDocument/2006/relationships/hyperlink" Target="https://clinicaltrials.gov/study/NCT05402111" TargetMode="External"/><Relationship Id="rId1435" Type="http://schemas.openxmlformats.org/officeDocument/2006/relationships/hyperlink" Target="https://pubmed.ncbi.nlm.nih.gov/31688449" TargetMode="External"/><Relationship Id="rId1642" Type="http://schemas.openxmlformats.org/officeDocument/2006/relationships/hyperlink" Target="https://pubmed.ncbi.nlm.nih.gov/35032906" TargetMode="External"/><Relationship Id="rId1502" Type="http://schemas.openxmlformats.org/officeDocument/2006/relationships/hyperlink" Target="https://pubmed.ncbi.nlm.nih.gov/32606055" TargetMode="External"/><Relationship Id="rId1807" Type="http://schemas.openxmlformats.org/officeDocument/2006/relationships/hyperlink" Target="https://center6.umin.ac.jp/cgi-open-bin/ctr_e/ctr_view.cgi?recptno=R000046914" TargetMode="External"/><Relationship Id="rId290" Type="http://schemas.openxmlformats.org/officeDocument/2006/relationships/hyperlink" Target="https://clinicaltrials.gov/study/NCT05300633" TargetMode="External"/><Relationship Id="rId388" Type="http://schemas.openxmlformats.org/officeDocument/2006/relationships/hyperlink" Target="https://clinicaltrials.gov/study/NCT05905003" TargetMode="External"/><Relationship Id="rId150" Type="http://schemas.openxmlformats.org/officeDocument/2006/relationships/hyperlink" Target="https://clinicaltrials.gov/study/NCT04318977" TargetMode="External"/><Relationship Id="rId595" Type="http://schemas.openxmlformats.org/officeDocument/2006/relationships/hyperlink" Target="https://pubmed.ncbi.nlm.nih.gov/32686552" TargetMode="External"/><Relationship Id="rId248" Type="http://schemas.openxmlformats.org/officeDocument/2006/relationships/hyperlink" Target="https://clinicaltrials.gov/study/NCT05053451" TargetMode="External"/><Relationship Id="rId455" Type="http://schemas.openxmlformats.org/officeDocument/2006/relationships/hyperlink" Target="https://clinicaltrials.gov/study/NCT06486948" TargetMode="External"/><Relationship Id="rId662" Type="http://schemas.openxmlformats.org/officeDocument/2006/relationships/hyperlink" Target="https://pubmed.ncbi.nlm.nih.gov/33854039" TargetMode="External"/><Relationship Id="rId1085" Type="http://schemas.openxmlformats.org/officeDocument/2006/relationships/hyperlink" Target="https://clinicaltrials.gov/study/NCT04478838" TargetMode="External"/><Relationship Id="rId1292" Type="http://schemas.openxmlformats.org/officeDocument/2006/relationships/hyperlink" Target="https://clinicaltrials.gov/study/NCT05824117" TargetMode="External"/><Relationship Id="rId108" Type="http://schemas.openxmlformats.org/officeDocument/2006/relationships/hyperlink" Target="https://clinicaltrials.gov/study/NCT04068467" TargetMode="External"/><Relationship Id="rId315" Type="http://schemas.openxmlformats.org/officeDocument/2006/relationships/hyperlink" Target="https://clinicaltrials.gov/study/NCT05414058" TargetMode="External"/><Relationship Id="rId522" Type="http://schemas.openxmlformats.org/officeDocument/2006/relationships/hyperlink" Target="https://pubmed.ncbi.nlm.nih.gov/31707749" TargetMode="External"/><Relationship Id="rId967" Type="http://schemas.openxmlformats.org/officeDocument/2006/relationships/hyperlink" Target="https://jrct.niph.go.jp/en-latest-detail/jRCT2031200287" TargetMode="External"/><Relationship Id="rId1152" Type="http://schemas.openxmlformats.org/officeDocument/2006/relationships/hyperlink" Target="https://clinicaltrials.gov/study/NCT04985786" TargetMode="External"/><Relationship Id="rId1597" Type="http://schemas.openxmlformats.org/officeDocument/2006/relationships/hyperlink" Target="https://pubmed.ncbi.nlm.nih.gov/34258833" TargetMode="External"/><Relationship Id="rId96" Type="http://schemas.openxmlformats.org/officeDocument/2006/relationships/hyperlink" Target="https://clinicaltrials.gov/study/NCT04011280" TargetMode="External"/><Relationship Id="rId827" Type="http://schemas.openxmlformats.org/officeDocument/2006/relationships/hyperlink" Target="https://pubmed.ncbi.nlm.nih.gov/37386572" TargetMode="External"/><Relationship Id="rId1012" Type="http://schemas.openxmlformats.org/officeDocument/2006/relationships/hyperlink" Target="https://clinicaltrials.gov/study/NCT04013555" TargetMode="External"/><Relationship Id="rId1457" Type="http://schemas.openxmlformats.org/officeDocument/2006/relationships/hyperlink" Target="https://pubmed.ncbi.nlm.nih.gov/31881954" TargetMode="External"/><Relationship Id="rId1664" Type="http://schemas.openxmlformats.org/officeDocument/2006/relationships/hyperlink" Target="https://pubmed.ncbi.nlm.nih.gov/35552528" TargetMode="External"/><Relationship Id="rId1871" Type="http://schemas.openxmlformats.org/officeDocument/2006/relationships/hyperlink" Target="https://pubmed.ncbi.nlm.nih.gov/35038407" TargetMode="External"/><Relationship Id="rId1317" Type="http://schemas.openxmlformats.org/officeDocument/2006/relationships/hyperlink" Target="https://clinicaltrials.gov/study/NCT06003036" TargetMode="External"/><Relationship Id="rId1524" Type="http://schemas.openxmlformats.org/officeDocument/2006/relationships/hyperlink" Target="https://pubmed.ncbi.nlm.nih.gov/32920492" TargetMode="External"/><Relationship Id="rId1731" Type="http://schemas.openxmlformats.org/officeDocument/2006/relationships/hyperlink" Target="https://pubmed.ncbi.nlm.nih.gov/37004331" TargetMode="External"/><Relationship Id="rId23" Type="http://schemas.openxmlformats.org/officeDocument/2006/relationships/hyperlink" Target="https://drks.de/search/en/trial/DRKS00030631" TargetMode="External"/><Relationship Id="rId1829" Type="http://schemas.openxmlformats.org/officeDocument/2006/relationships/hyperlink" Target="https://www.clinicaltrialsregister.eu/ctr-search/trial/2019-003343-29/ES" TargetMode="External"/><Relationship Id="rId172" Type="http://schemas.openxmlformats.org/officeDocument/2006/relationships/hyperlink" Target="https://clinicaltrials.gov/study/NCT04497857" TargetMode="External"/><Relationship Id="rId477" Type="http://schemas.openxmlformats.org/officeDocument/2006/relationships/hyperlink" Target="https://pubmed.ncbi.nlm.nih.gov/30912222" TargetMode="External"/><Relationship Id="rId684" Type="http://schemas.openxmlformats.org/officeDocument/2006/relationships/hyperlink" Target="https://pubmed.ncbi.nlm.nih.gov/34270620" TargetMode="External"/><Relationship Id="rId337" Type="http://schemas.openxmlformats.org/officeDocument/2006/relationships/hyperlink" Target="https://clinicaltrials.gov/study/NCT05542264" TargetMode="External"/><Relationship Id="rId891" Type="http://schemas.openxmlformats.org/officeDocument/2006/relationships/hyperlink" Target="https://center6.umin.ac.jp/cgi-open-bin/ctr_e/ctr_view.cgi?recptno=R000045042" TargetMode="External"/><Relationship Id="rId989" Type="http://schemas.openxmlformats.org/officeDocument/2006/relationships/hyperlink" Target="https://clinicaltrials.gov/study/NCT02670447" TargetMode="External"/><Relationship Id="rId544" Type="http://schemas.openxmlformats.org/officeDocument/2006/relationships/hyperlink" Target="https://pubmed.ncbi.nlm.nih.gov/31913424" TargetMode="External"/><Relationship Id="rId751" Type="http://schemas.openxmlformats.org/officeDocument/2006/relationships/hyperlink" Target="https://pubmed.ncbi.nlm.nih.gov/35569503" TargetMode="External"/><Relationship Id="rId849" Type="http://schemas.openxmlformats.org/officeDocument/2006/relationships/hyperlink" Target="https://pubmed.ncbi.nlm.nih.gov/38084398" TargetMode="External"/><Relationship Id="rId1174" Type="http://schemas.openxmlformats.org/officeDocument/2006/relationships/hyperlink" Target="https://clinicaltrials.gov/study/NCT05130853" TargetMode="External"/><Relationship Id="rId1381" Type="http://schemas.openxmlformats.org/officeDocument/2006/relationships/hyperlink" Target="https://pubmed.ncbi.nlm.nih.gov/30346226" TargetMode="External"/><Relationship Id="rId1479" Type="http://schemas.openxmlformats.org/officeDocument/2006/relationships/hyperlink" Target="https://pubmed.ncbi.nlm.nih.gov/32237292" TargetMode="External"/><Relationship Id="rId1686" Type="http://schemas.openxmlformats.org/officeDocument/2006/relationships/hyperlink" Target="https://pubmed.ncbi.nlm.nih.gov/35971137" TargetMode="External"/><Relationship Id="rId404" Type="http://schemas.openxmlformats.org/officeDocument/2006/relationships/hyperlink" Target="https://clinicaltrials.gov/study/NCT06036316" TargetMode="External"/><Relationship Id="rId611" Type="http://schemas.openxmlformats.org/officeDocument/2006/relationships/hyperlink" Target="https://pubmed.ncbi.nlm.nih.gov/32936897" TargetMode="External"/><Relationship Id="rId1034" Type="http://schemas.openxmlformats.org/officeDocument/2006/relationships/hyperlink" Target="https://clinicaltrials.gov/study/NCT04127058" TargetMode="External"/><Relationship Id="rId1241" Type="http://schemas.openxmlformats.org/officeDocument/2006/relationships/hyperlink" Target="https://clinicaltrials.gov/study/NCT05480046" TargetMode="External"/><Relationship Id="rId1339" Type="http://schemas.openxmlformats.org/officeDocument/2006/relationships/hyperlink" Target="https://clinicaltrials.gov/study/NCT06179108" TargetMode="External"/><Relationship Id="rId1893" Type="http://schemas.openxmlformats.org/officeDocument/2006/relationships/hyperlink" Target="https://clinicaltrials.gov/study/NCT04248010" TargetMode="External"/><Relationship Id="rId709" Type="http://schemas.openxmlformats.org/officeDocument/2006/relationships/hyperlink" Target="https://pubmed.ncbi.nlm.nih.gov/34700212" TargetMode="External"/><Relationship Id="rId916" Type="http://schemas.openxmlformats.org/officeDocument/2006/relationships/hyperlink" Target="https://drks.de/search/en/trial/DRKS00017055" TargetMode="External"/><Relationship Id="rId1101" Type="http://schemas.openxmlformats.org/officeDocument/2006/relationships/hyperlink" Target="https://clinicaltrials.gov/study/NCT04588129" TargetMode="External"/><Relationship Id="rId1546" Type="http://schemas.openxmlformats.org/officeDocument/2006/relationships/hyperlink" Target="https://pubmed.ncbi.nlm.nih.gov/33230190" TargetMode="External"/><Relationship Id="rId1753" Type="http://schemas.openxmlformats.org/officeDocument/2006/relationships/hyperlink" Target="https://pubmed.ncbi.nlm.nih.gov/37690312" TargetMode="External"/><Relationship Id="rId45" Type="http://schemas.openxmlformats.org/officeDocument/2006/relationships/hyperlink" Target="https://jrct.niph.go.jp/en-latest-detail/jRCT1041210028" TargetMode="External"/><Relationship Id="rId1406" Type="http://schemas.openxmlformats.org/officeDocument/2006/relationships/hyperlink" Target="https://pubmed.ncbi.nlm.nih.gov/31375316" TargetMode="External"/><Relationship Id="rId1613" Type="http://schemas.openxmlformats.org/officeDocument/2006/relationships/hyperlink" Target="https://pubmed.ncbi.nlm.nih.gov/34544343" TargetMode="External"/><Relationship Id="rId1820" Type="http://schemas.openxmlformats.org/officeDocument/2006/relationships/hyperlink" Target="https://center6.umin.ac.jp/cgi-open-bin/ctr_e/ctr_view.cgi?recptno=R000057777" TargetMode="External"/><Relationship Id="rId194" Type="http://schemas.openxmlformats.org/officeDocument/2006/relationships/hyperlink" Target="https://clinicaltrials.gov/study/NCT04659161" TargetMode="External"/><Relationship Id="rId1918" Type="http://schemas.openxmlformats.org/officeDocument/2006/relationships/hyperlink" Target="https://pubmed.ncbi.nlm.nih.gov/30872010" TargetMode="External"/><Relationship Id="rId261" Type="http://schemas.openxmlformats.org/officeDocument/2006/relationships/hyperlink" Target="https://clinicaltrials.gov/study/NCT05136690" TargetMode="External"/><Relationship Id="rId499" Type="http://schemas.openxmlformats.org/officeDocument/2006/relationships/hyperlink" Target="https://pubmed.ncbi.nlm.nih.gov/31471246" TargetMode="External"/><Relationship Id="rId359" Type="http://schemas.openxmlformats.org/officeDocument/2006/relationships/hyperlink" Target="https://clinicaltrials.gov/study/NCT05698589" TargetMode="External"/><Relationship Id="rId566" Type="http://schemas.openxmlformats.org/officeDocument/2006/relationships/hyperlink" Target="https://pubmed.ncbi.nlm.nih.gov/32250132" TargetMode="External"/><Relationship Id="rId773" Type="http://schemas.openxmlformats.org/officeDocument/2006/relationships/hyperlink" Target="https://pubmed.ncbi.nlm.nih.gov/36031632" TargetMode="External"/><Relationship Id="rId1196" Type="http://schemas.openxmlformats.org/officeDocument/2006/relationships/hyperlink" Target="https://clinicaltrials.gov/study/NCT05252039" TargetMode="External"/><Relationship Id="rId121" Type="http://schemas.openxmlformats.org/officeDocument/2006/relationships/hyperlink" Target="https://clinicaltrials.gov/study/NCT04136873" TargetMode="External"/><Relationship Id="rId219" Type="http://schemas.openxmlformats.org/officeDocument/2006/relationships/hyperlink" Target="https://clinicaltrials.gov/study/NCT04856657" TargetMode="External"/><Relationship Id="rId426" Type="http://schemas.openxmlformats.org/officeDocument/2006/relationships/hyperlink" Target="https://clinicaltrials.gov/study/NCT06194799" TargetMode="External"/><Relationship Id="rId633" Type="http://schemas.openxmlformats.org/officeDocument/2006/relationships/hyperlink" Target="https://pubmed.ncbi.nlm.nih.gov/33272766" TargetMode="External"/><Relationship Id="rId980" Type="http://schemas.openxmlformats.org/officeDocument/2006/relationships/hyperlink" Target="https://jrct.niph.go.jp/en-latest-detail/jRCTs032190244" TargetMode="External"/><Relationship Id="rId1056" Type="http://schemas.openxmlformats.org/officeDocument/2006/relationships/hyperlink" Target="https://clinicaltrials.gov/study/NCT04277936" TargetMode="External"/><Relationship Id="rId1263" Type="http://schemas.openxmlformats.org/officeDocument/2006/relationships/hyperlink" Target="https://clinicaltrials.gov/study/NCT05648591" TargetMode="External"/><Relationship Id="rId840" Type="http://schemas.openxmlformats.org/officeDocument/2006/relationships/hyperlink" Target="https://pubmed.ncbi.nlm.nih.gov/37716320" TargetMode="External"/><Relationship Id="rId938" Type="http://schemas.openxmlformats.org/officeDocument/2006/relationships/hyperlink" Target="https://drks.de/search/en/trial/DRKS00030631" TargetMode="External"/><Relationship Id="rId1470" Type="http://schemas.openxmlformats.org/officeDocument/2006/relationships/hyperlink" Target="https://pubmed.ncbi.nlm.nih.gov/32098946" TargetMode="External"/><Relationship Id="rId1568" Type="http://schemas.openxmlformats.org/officeDocument/2006/relationships/hyperlink" Target="https://pubmed.ncbi.nlm.nih.gov/33711681" TargetMode="External"/><Relationship Id="rId1775" Type="http://schemas.openxmlformats.org/officeDocument/2006/relationships/hyperlink" Target="https://pubmed.ncbi.nlm.nih.gov/38355533" TargetMode="External"/><Relationship Id="rId67" Type="http://schemas.openxmlformats.org/officeDocument/2006/relationships/hyperlink" Target="https://jrct.niph.go.jp/en-latest-detail/jRCTs032210059" TargetMode="External"/><Relationship Id="rId700" Type="http://schemas.openxmlformats.org/officeDocument/2006/relationships/hyperlink" Target="https://pubmed.ncbi.nlm.nih.gov/34561058" TargetMode="External"/><Relationship Id="rId1123" Type="http://schemas.openxmlformats.org/officeDocument/2006/relationships/hyperlink" Target="https://clinicaltrials.gov/study/NCT04781179" TargetMode="External"/><Relationship Id="rId1330" Type="http://schemas.openxmlformats.org/officeDocument/2006/relationships/hyperlink" Target="https://clinicaltrials.gov/study/NCT06126224" TargetMode="External"/><Relationship Id="rId1428" Type="http://schemas.openxmlformats.org/officeDocument/2006/relationships/hyperlink" Target="https://pubmed.ncbi.nlm.nih.gov/31642084" TargetMode="External"/><Relationship Id="rId1635" Type="http://schemas.openxmlformats.org/officeDocument/2006/relationships/hyperlink" Target="https://pubmed.ncbi.nlm.nih.gov/34930729" TargetMode="External"/><Relationship Id="rId1842" Type="http://schemas.openxmlformats.org/officeDocument/2006/relationships/hyperlink" Target="https://clinicaltrials.gov/study/NCT03271814" TargetMode="External"/><Relationship Id="rId1702" Type="http://schemas.openxmlformats.org/officeDocument/2006/relationships/hyperlink" Target="https://pubmed.ncbi.nlm.nih.gov/36414626" TargetMode="External"/><Relationship Id="rId283" Type="http://schemas.openxmlformats.org/officeDocument/2006/relationships/hyperlink" Target="https://clinicaltrials.gov/study/NCT05268809" TargetMode="External"/><Relationship Id="rId490" Type="http://schemas.openxmlformats.org/officeDocument/2006/relationships/hyperlink" Target="https://pubmed.ncbi.nlm.nih.gov/31365044" TargetMode="External"/><Relationship Id="rId143" Type="http://schemas.openxmlformats.org/officeDocument/2006/relationships/hyperlink" Target="https://clinicaltrials.gov/study/NCT04280367" TargetMode="External"/><Relationship Id="rId350" Type="http://schemas.openxmlformats.org/officeDocument/2006/relationships/hyperlink" Target="https://clinicaltrials.gov/study/NCT05658510" TargetMode="External"/><Relationship Id="rId588" Type="http://schemas.openxmlformats.org/officeDocument/2006/relationships/hyperlink" Target="https://pubmed.ncbi.nlm.nih.gov/32613525" TargetMode="External"/><Relationship Id="rId795" Type="http://schemas.openxmlformats.org/officeDocument/2006/relationships/hyperlink" Target="https://pubmed.ncbi.nlm.nih.gov/36577235" TargetMode="External"/><Relationship Id="rId9" Type="http://schemas.openxmlformats.org/officeDocument/2006/relationships/hyperlink" Target="https://drks.de/search/en/trial/DRKS00022351" TargetMode="External"/><Relationship Id="rId210" Type="http://schemas.openxmlformats.org/officeDocument/2006/relationships/hyperlink" Target="https://clinicaltrials.gov/study/NCT04783571" TargetMode="External"/><Relationship Id="rId448" Type="http://schemas.openxmlformats.org/officeDocument/2006/relationships/hyperlink" Target="https://clinicaltrials.gov/study/NCT06386588" TargetMode="External"/><Relationship Id="rId655" Type="http://schemas.openxmlformats.org/officeDocument/2006/relationships/hyperlink" Target="https://pubmed.ncbi.nlm.nih.gov/33735740" TargetMode="External"/><Relationship Id="rId862" Type="http://schemas.openxmlformats.org/officeDocument/2006/relationships/hyperlink" Target="https://pubmed.ncbi.nlm.nih.gov/38387253" TargetMode="External"/><Relationship Id="rId1078" Type="http://schemas.openxmlformats.org/officeDocument/2006/relationships/hyperlink" Target="https://clinicaltrials.gov/study/NCT04418011" TargetMode="External"/><Relationship Id="rId1285" Type="http://schemas.openxmlformats.org/officeDocument/2006/relationships/hyperlink" Target="https://clinicaltrials.gov/study/NCT05746494" TargetMode="External"/><Relationship Id="rId1492" Type="http://schemas.openxmlformats.org/officeDocument/2006/relationships/hyperlink" Target="https://pubmed.ncbi.nlm.nih.gov/32401072" TargetMode="External"/><Relationship Id="rId308" Type="http://schemas.openxmlformats.org/officeDocument/2006/relationships/hyperlink" Target="https://clinicaltrials.gov/study/NCT05352568" TargetMode="External"/><Relationship Id="rId515" Type="http://schemas.openxmlformats.org/officeDocument/2006/relationships/hyperlink" Target="https://pubmed.ncbi.nlm.nih.gov/31651213" TargetMode="External"/><Relationship Id="rId722" Type="http://schemas.openxmlformats.org/officeDocument/2006/relationships/hyperlink" Target="https://pubmed.ncbi.nlm.nih.gov/34963486" TargetMode="External"/><Relationship Id="rId1145" Type="http://schemas.openxmlformats.org/officeDocument/2006/relationships/hyperlink" Target="https://clinicaltrials.gov/study/NCT04922593" TargetMode="External"/><Relationship Id="rId1352" Type="http://schemas.openxmlformats.org/officeDocument/2006/relationships/hyperlink" Target="https://clinicaltrials.gov/study/NCT06278246" TargetMode="External"/><Relationship Id="rId1797" Type="http://schemas.openxmlformats.org/officeDocument/2006/relationships/hyperlink" Target="https://pubmed.ncbi.nlm.nih.gov/38954317" TargetMode="External"/><Relationship Id="rId89" Type="http://schemas.openxmlformats.org/officeDocument/2006/relationships/hyperlink" Target="https://clinicaltrials.gov/study/NCT03995368" TargetMode="External"/><Relationship Id="rId1005" Type="http://schemas.openxmlformats.org/officeDocument/2006/relationships/hyperlink" Target="https://clinicaltrials.gov/study/NCT03995420" TargetMode="External"/><Relationship Id="rId1212" Type="http://schemas.openxmlformats.org/officeDocument/2006/relationships/hyperlink" Target="https://clinicaltrials.gov/study/NCT05326347" TargetMode="External"/><Relationship Id="rId1657" Type="http://schemas.openxmlformats.org/officeDocument/2006/relationships/hyperlink" Target="https://pubmed.ncbi.nlm.nih.gov/35343739" TargetMode="External"/><Relationship Id="rId1864" Type="http://schemas.openxmlformats.org/officeDocument/2006/relationships/hyperlink" Target="https://pubmed.ncbi.nlm.nih.gov/38427485" TargetMode="External"/><Relationship Id="rId1517" Type="http://schemas.openxmlformats.org/officeDocument/2006/relationships/hyperlink" Target="https://pubmed.ncbi.nlm.nih.gov/32796391" TargetMode="External"/><Relationship Id="rId1724" Type="http://schemas.openxmlformats.org/officeDocument/2006/relationships/hyperlink" Target="https://pubmed.ncbi.nlm.nih.gov/36927273" TargetMode="External"/><Relationship Id="rId16" Type="http://schemas.openxmlformats.org/officeDocument/2006/relationships/hyperlink" Target="https://drks.de/search/en/trial/DRKS00026118" TargetMode="External"/><Relationship Id="rId1931" Type="http://schemas.openxmlformats.org/officeDocument/2006/relationships/hyperlink" Target="https://pubmed.ncbi.nlm.nih.gov/34902651" TargetMode="External"/><Relationship Id="rId165" Type="http://schemas.openxmlformats.org/officeDocument/2006/relationships/hyperlink" Target="https://clinicaltrials.gov/study/NCT04421456" TargetMode="External"/><Relationship Id="rId372" Type="http://schemas.openxmlformats.org/officeDocument/2006/relationships/hyperlink" Target="https://clinicaltrials.gov/study/NCT05756855" TargetMode="External"/><Relationship Id="rId677" Type="http://schemas.openxmlformats.org/officeDocument/2006/relationships/hyperlink" Target="https://pubmed.ncbi.nlm.nih.gov/34112279" TargetMode="External"/><Relationship Id="rId232" Type="http://schemas.openxmlformats.org/officeDocument/2006/relationships/hyperlink" Target="https://clinicaltrials.gov/study/NCT04946916" TargetMode="External"/><Relationship Id="rId884" Type="http://schemas.openxmlformats.org/officeDocument/2006/relationships/hyperlink" Target="https://pubmed.ncbi.nlm.nih.gov/39034077" TargetMode="External"/><Relationship Id="rId537" Type="http://schemas.openxmlformats.org/officeDocument/2006/relationships/hyperlink" Target="https://pubmed.ncbi.nlm.nih.gov/31836507" TargetMode="External"/><Relationship Id="rId744" Type="http://schemas.openxmlformats.org/officeDocument/2006/relationships/hyperlink" Target="https://pubmed.ncbi.nlm.nih.gov/35422467" TargetMode="External"/><Relationship Id="rId951" Type="http://schemas.openxmlformats.org/officeDocument/2006/relationships/hyperlink" Target="https://www.isrctn.com/ISRCTN81150786" TargetMode="External"/><Relationship Id="rId1167" Type="http://schemas.openxmlformats.org/officeDocument/2006/relationships/hyperlink" Target="https://clinicaltrials.gov/study/NCT05106309" TargetMode="External"/><Relationship Id="rId1374" Type="http://schemas.openxmlformats.org/officeDocument/2006/relationships/hyperlink" Target="https://clinicaltrials.gov/study/NCT06527885" TargetMode="External"/><Relationship Id="rId1581" Type="http://schemas.openxmlformats.org/officeDocument/2006/relationships/hyperlink" Target="https://pubmed.ncbi.nlm.nih.gov/33895598" TargetMode="External"/><Relationship Id="rId1679" Type="http://schemas.openxmlformats.org/officeDocument/2006/relationships/hyperlink" Target="https://pubmed.ncbi.nlm.nih.gov/35839558" TargetMode="External"/><Relationship Id="rId80" Type="http://schemas.openxmlformats.org/officeDocument/2006/relationships/hyperlink" Target="https://clinicaltrials.gov/study/NCT03900754" TargetMode="External"/><Relationship Id="rId604" Type="http://schemas.openxmlformats.org/officeDocument/2006/relationships/hyperlink" Target="https://pubmed.ncbi.nlm.nih.gov/32846328" TargetMode="External"/><Relationship Id="rId811" Type="http://schemas.openxmlformats.org/officeDocument/2006/relationships/hyperlink" Target="https://pubmed.ncbi.nlm.nih.gov/36933290" TargetMode="External"/><Relationship Id="rId1027" Type="http://schemas.openxmlformats.org/officeDocument/2006/relationships/hyperlink" Target="https://clinicaltrials.gov/study/NCT04106960" TargetMode="External"/><Relationship Id="rId1234" Type="http://schemas.openxmlformats.org/officeDocument/2006/relationships/hyperlink" Target="https://clinicaltrials.gov/study/NCT05443724" TargetMode="External"/><Relationship Id="rId1441" Type="http://schemas.openxmlformats.org/officeDocument/2006/relationships/hyperlink" Target="https://pubmed.ncbi.nlm.nih.gov/31728631" TargetMode="External"/><Relationship Id="rId1886" Type="http://schemas.openxmlformats.org/officeDocument/2006/relationships/hyperlink" Target="https://pubmed.ncbi.nlm.nih.gov/38941338" TargetMode="External"/><Relationship Id="rId909" Type="http://schemas.openxmlformats.org/officeDocument/2006/relationships/hyperlink" Target="https://center6.umin.ac.jp/cgi-open-bin/ctr_e/ctr_view.cgi?recptno=R000059317" TargetMode="External"/><Relationship Id="rId1301" Type="http://schemas.openxmlformats.org/officeDocument/2006/relationships/hyperlink" Target="https://clinicaltrials.gov/study/NCT05893862" TargetMode="External"/><Relationship Id="rId1539" Type="http://schemas.openxmlformats.org/officeDocument/2006/relationships/hyperlink" Target="https://pubmed.ncbi.nlm.nih.gov/33161162" TargetMode="External"/><Relationship Id="rId1746" Type="http://schemas.openxmlformats.org/officeDocument/2006/relationships/hyperlink" Target="https://pubmed.ncbi.nlm.nih.gov/37506738" TargetMode="External"/><Relationship Id="rId38" Type="http://schemas.openxmlformats.org/officeDocument/2006/relationships/hyperlink" Target="https://jrct.niph.go.jp/en-latest-detail/jRCT1020210045" TargetMode="External"/><Relationship Id="rId1606" Type="http://schemas.openxmlformats.org/officeDocument/2006/relationships/hyperlink" Target="https://pubmed.ncbi.nlm.nih.gov/34404290" TargetMode="External"/><Relationship Id="rId1813" Type="http://schemas.openxmlformats.org/officeDocument/2006/relationships/hyperlink" Target="https://center6.umin.ac.jp/cgi-open-bin/ctr_e/ctr_view.cgi?recptno=R000050273" TargetMode="External"/><Relationship Id="rId187" Type="http://schemas.openxmlformats.org/officeDocument/2006/relationships/hyperlink" Target="https://clinicaltrials.gov/study/NCT04590300" TargetMode="External"/><Relationship Id="rId394" Type="http://schemas.openxmlformats.org/officeDocument/2006/relationships/hyperlink" Target="https://clinicaltrials.gov/study/NCT05958875" TargetMode="External"/><Relationship Id="rId254" Type="http://schemas.openxmlformats.org/officeDocument/2006/relationships/hyperlink" Target="https://clinicaltrials.gov/study/NCT05110157" TargetMode="External"/><Relationship Id="rId699" Type="http://schemas.openxmlformats.org/officeDocument/2006/relationships/hyperlink" Target="https://pubmed.ncbi.nlm.nih.gov/34551218" TargetMode="External"/><Relationship Id="rId1091" Type="http://schemas.openxmlformats.org/officeDocument/2006/relationships/hyperlink" Target="https://clinicaltrials.gov/study/NCT04524403" TargetMode="External"/><Relationship Id="rId114" Type="http://schemas.openxmlformats.org/officeDocument/2006/relationships/hyperlink" Target="https://clinicaltrials.gov/study/NCT04115319" TargetMode="External"/><Relationship Id="rId461" Type="http://schemas.openxmlformats.org/officeDocument/2006/relationships/hyperlink" Target="https://pubmed.ncbi.nlm.nih.gov/29941057" TargetMode="External"/><Relationship Id="rId559" Type="http://schemas.openxmlformats.org/officeDocument/2006/relationships/hyperlink" Target="https://pubmed.ncbi.nlm.nih.gov/32141724" TargetMode="External"/><Relationship Id="rId766" Type="http://schemas.openxmlformats.org/officeDocument/2006/relationships/hyperlink" Target="https://pubmed.ncbi.nlm.nih.gov/35921506" TargetMode="External"/><Relationship Id="rId1189" Type="http://schemas.openxmlformats.org/officeDocument/2006/relationships/hyperlink" Target="https://clinicaltrials.gov/study/NCT05208190" TargetMode="External"/><Relationship Id="rId1396" Type="http://schemas.openxmlformats.org/officeDocument/2006/relationships/hyperlink" Target="https://pubmed.ncbi.nlm.nih.gov/30994855" TargetMode="External"/><Relationship Id="rId321" Type="http://schemas.openxmlformats.org/officeDocument/2006/relationships/hyperlink" Target="https://clinicaltrials.gov/study/NCT05462340" TargetMode="External"/><Relationship Id="rId419" Type="http://schemas.openxmlformats.org/officeDocument/2006/relationships/hyperlink" Target="https://clinicaltrials.gov/study/NCT06142422" TargetMode="External"/><Relationship Id="rId626" Type="http://schemas.openxmlformats.org/officeDocument/2006/relationships/hyperlink" Target="https://pubmed.ncbi.nlm.nih.gov/33203954" TargetMode="External"/><Relationship Id="rId973" Type="http://schemas.openxmlformats.org/officeDocument/2006/relationships/hyperlink" Target="https://jrct.niph.go.jp/en-latest-detail/jRCT2071210003" TargetMode="External"/><Relationship Id="rId1049" Type="http://schemas.openxmlformats.org/officeDocument/2006/relationships/hyperlink" Target="https://clinicaltrials.gov/study/NCT04210557" TargetMode="External"/><Relationship Id="rId1256" Type="http://schemas.openxmlformats.org/officeDocument/2006/relationships/hyperlink" Target="https://clinicaltrials.gov/study/NCT05571228" TargetMode="External"/><Relationship Id="rId833" Type="http://schemas.openxmlformats.org/officeDocument/2006/relationships/hyperlink" Target="https://pubmed.ncbi.nlm.nih.gov/37597507" TargetMode="External"/><Relationship Id="rId1116" Type="http://schemas.openxmlformats.org/officeDocument/2006/relationships/hyperlink" Target="https://clinicaltrials.gov/study/NCT04730518" TargetMode="External"/><Relationship Id="rId1463" Type="http://schemas.openxmlformats.org/officeDocument/2006/relationships/hyperlink" Target="https://pubmed.ncbi.nlm.nih.gov/31996174" TargetMode="External"/><Relationship Id="rId1670" Type="http://schemas.openxmlformats.org/officeDocument/2006/relationships/hyperlink" Target="https://pubmed.ncbi.nlm.nih.gov/35639493" TargetMode="External"/><Relationship Id="rId1768" Type="http://schemas.openxmlformats.org/officeDocument/2006/relationships/hyperlink" Target="https://pubmed.ncbi.nlm.nih.gov/38199388" TargetMode="External"/><Relationship Id="rId900" Type="http://schemas.openxmlformats.org/officeDocument/2006/relationships/hyperlink" Target="https://center6.umin.ac.jp/cgi-open-bin/ctr_e/ctr_view.cgi?recptno=R000051597" TargetMode="External"/><Relationship Id="rId1323" Type="http://schemas.openxmlformats.org/officeDocument/2006/relationships/hyperlink" Target="https://clinicaltrials.gov/study/NCT06061952" TargetMode="External"/><Relationship Id="rId1530" Type="http://schemas.openxmlformats.org/officeDocument/2006/relationships/hyperlink" Target="https://pubmed.ncbi.nlm.nih.gov/32981534" TargetMode="External"/><Relationship Id="rId1628" Type="http://schemas.openxmlformats.org/officeDocument/2006/relationships/hyperlink" Target="https://pubmed.ncbi.nlm.nih.gov/34791283" TargetMode="External"/><Relationship Id="rId1835" Type="http://schemas.openxmlformats.org/officeDocument/2006/relationships/hyperlink" Target="https://clinicaltrials.gov/study/NCT04148963" TargetMode="External"/><Relationship Id="rId1902" Type="http://schemas.openxmlformats.org/officeDocument/2006/relationships/hyperlink" Target="https://clinicaltrials.gov/study/NCT05778591" TargetMode="External"/><Relationship Id="rId276" Type="http://schemas.openxmlformats.org/officeDocument/2006/relationships/hyperlink" Target="https://clinicaltrials.gov/study/NCT05227118" TargetMode="External"/><Relationship Id="rId483" Type="http://schemas.openxmlformats.org/officeDocument/2006/relationships/hyperlink" Target="https://pubmed.ncbi.nlm.nih.gov/31077519" TargetMode="External"/><Relationship Id="rId690" Type="http://schemas.openxmlformats.org/officeDocument/2006/relationships/hyperlink" Target="https://pubmed.ncbi.nlm.nih.gov/34332429" TargetMode="External"/><Relationship Id="rId136" Type="http://schemas.openxmlformats.org/officeDocument/2006/relationships/hyperlink" Target="https://clinicaltrials.gov/study/NCT04226898" TargetMode="External"/><Relationship Id="rId343" Type="http://schemas.openxmlformats.org/officeDocument/2006/relationships/hyperlink" Target="https://clinicaltrials.gov/study/NCT05601050" TargetMode="External"/><Relationship Id="rId550" Type="http://schemas.openxmlformats.org/officeDocument/2006/relationships/hyperlink" Target="https://pubmed.ncbi.nlm.nih.gov/32015461" TargetMode="External"/><Relationship Id="rId788" Type="http://schemas.openxmlformats.org/officeDocument/2006/relationships/hyperlink" Target="https://pubmed.ncbi.nlm.nih.gov/36424289" TargetMode="External"/><Relationship Id="rId995" Type="http://schemas.openxmlformats.org/officeDocument/2006/relationships/hyperlink" Target="https://clinicaltrials.gov/study/NCT03900754" TargetMode="External"/><Relationship Id="rId1180" Type="http://schemas.openxmlformats.org/officeDocument/2006/relationships/hyperlink" Target="https://clinicaltrials.gov/study/NCT05157620" TargetMode="External"/><Relationship Id="rId203" Type="http://schemas.openxmlformats.org/officeDocument/2006/relationships/hyperlink" Target="https://clinicaltrials.gov/study/NCT04752449" TargetMode="External"/><Relationship Id="rId648" Type="http://schemas.openxmlformats.org/officeDocument/2006/relationships/hyperlink" Target="https://pubmed.ncbi.nlm.nih.gov/33603385" TargetMode="External"/><Relationship Id="rId855" Type="http://schemas.openxmlformats.org/officeDocument/2006/relationships/hyperlink" Target="https://pubmed.ncbi.nlm.nih.gov/38237358" TargetMode="External"/><Relationship Id="rId1040" Type="http://schemas.openxmlformats.org/officeDocument/2006/relationships/hyperlink" Target="https://clinicaltrials.gov/study/NCT04158687" TargetMode="External"/><Relationship Id="rId1278" Type="http://schemas.openxmlformats.org/officeDocument/2006/relationships/hyperlink" Target="https://clinicaltrials.gov/study/NCT05723328" TargetMode="External"/><Relationship Id="rId1485" Type="http://schemas.openxmlformats.org/officeDocument/2006/relationships/hyperlink" Target="https://pubmed.ncbi.nlm.nih.gov/32332459" TargetMode="External"/><Relationship Id="rId1692" Type="http://schemas.openxmlformats.org/officeDocument/2006/relationships/hyperlink" Target="https://pubmed.ncbi.nlm.nih.gov/36115192" TargetMode="External"/><Relationship Id="rId410" Type="http://schemas.openxmlformats.org/officeDocument/2006/relationships/hyperlink" Target="https://clinicaltrials.gov/study/NCT06071858" TargetMode="External"/><Relationship Id="rId508" Type="http://schemas.openxmlformats.org/officeDocument/2006/relationships/hyperlink" Target="https://pubmed.ncbi.nlm.nih.gov/31617138" TargetMode="External"/><Relationship Id="rId715" Type="http://schemas.openxmlformats.org/officeDocument/2006/relationships/hyperlink" Target="https://pubmed.ncbi.nlm.nih.gov/34839074" TargetMode="External"/><Relationship Id="rId922" Type="http://schemas.openxmlformats.org/officeDocument/2006/relationships/hyperlink" Target="https://drks.de/search/en/trial/DRKS00022190" TargetMode="External"/><Relationship Id="rId1138" Type="http://schemas.openxmlformats.org/officeDocument/2006/relationships/hyperlink" Target="https://clinicaltrials.gov/study/NCT04867681" TargetMode="External"/><Relationship Id="rId1345" Type="http://schemas.openxmlformats.org/officeDocument/2006/relationships/hyperlink" Target="https://clinicaltrials.gov/study/NCT06231407" TargetMode="External"/><Relationship Id="rId1552" Type="http://schemas.openxmlformats.org/officeDocument/2006/relationships/hyperlink" Target="https://pubmed.ncbi.nlm.nih.gov/33326711" TargetMode="External"/><Relationship Id="rId1205" Type="http://schemas.openxmlformats.org/officeDocument/2006/relationships/hyperlink" Target="https://clinicaltrials.gov/study/NCT05300633" TargetMode="External"/><Relationship Id="rId1857" Type="http://schemas.openxmlformats.org/officeDocument/2006/relationships/hyperlink" Target="https://clinicaltrials.gov/study/NCT01979796" TargetMode="External"/><Relationship Id="rId51" Type="http://schemas.openxmlformats.org/officeDocument/2006/relationships/hyperlink" Target="https://jrct.niph.go.jp/en-latest-detail/jRCT2011210024" TargetMode="External"/><Relationship Id="rId1412" Type="http://schemas.openxmlformats.org/officeDocument/2006/relationships/hyperlink" Target="https://pubmed.ncbi.nlm.nih.gov/31446217" TargetMode="External"/><Relationship Id="rId1717" Type="http://schemas.openxmlformats.org/officeDocument/2006/relationships/hyperlink" Target="https://pubmed.ncbi.nlm.nih.gov/36803673" TargetMode="External"/><Relationship Id="rId1924" Type="http://schemas.openxmlformats.org/officeDocument/2006/relationships/hyperlink" Target="https://pubmed.ncbi.nlm.nih.gov/32216870" TargetMode="External"/><Relationship Id="rId298" Type="http://schemas.openxmlformats.org/officeDocument/2006/relationships/hyperlink" Target="https://clinicaltrials.gov/study/NCT05329363" TargetMode="External"/><Relationship Id="rId158" Type="http://schemas.openxmlformats.org/officeDocument/2006/relationships/hyperlink" Target="https://clinicaltrials.gov/study/NCT04370730" TargetMode="External"/><Relationship Id="rId365" Type="http://schemas.openxmlformats.org/officeDocument/2006/relationships/hyperlink" Target="https://clinicaltrials.gov/study/NCT05724953" TargetMode="External"/><Relationship Id="rId572" Type="http://schemas.openxmlformats.org/officeDocument/2006/relationships/hyperlink" Target="https://pubmed.ncbi.nlm.nih.gov/32340927" TargetMode="External"/><Relationship Id="rId225" Type="http://schemas.openxmlformats.org/officeDocument/2006/relationships/hyperlink" Target="https://clinicaltrials.gov/study/NCT04874974" TargetMode="External"/><Relationship Id="rId432" Type="http://schemas.openxmlformats.org/officeDocument/2006/relationships/hyperlink" Target="https://clinicaltrials.gov/study/NCT06245213" TargetMode="External"/><Relationship Id="rId877" Type="http://schemas.openxmlformats.org/officeDocument/2006/relationships/hyperlink" Target="https://pubmed.ncbi.nlm.nih.gov/38749320" TargetMode="External"/><Relationship Id="rId1062" Type="http://schemas.openxmlformats.org/officeDocument/2006/relationships/hyperlink" Target="https://clinicaltrials.gov/study/NCT04309370" TargetMode="External"/><Relationship Id="rId737" Type="http://schemas.openxmlformats.org/officeDocument/2006/relationships/hyperlink" Target="https://pubmed.ncbi.nlm.nih.gov/35247794" TargetMode="External"/><Relationship Id="rId944" Type="http://schemas.openxmlformats.org/officeDocument/2006/relationships/hyperlink" Target="https://www.isrctn.com/ISRCTN18419418" TargetMode="External"/><Relationship Id="rId1367" Type="http://schemas.openxmlformats.org/officeDocument/2006/relationships/hyperlink" Target="https://clinicaltrials.gov/study/NCT06456983" TargetMode="External"/><Relationship Id="rId1574" Type="http://schemas.openxmlformats.org/officeDocument/2006/relationships/hyperlink" Target="https://pubmed.ncbi.nlm.nih.gov/33839372" TargetMode="External"/><Relationship Id="rId1781" Type="http://schemas.openxmlformats.org/officeDocument/2006/relationships/hyperlink" Target="https://pubmed.ncbi.nlm.nih.gov/38453003" TargetMode="External"/><Relationship Id="rId73" Type="http://schemas.openxmlformats.org/officeDocument/2006/relationships/hyperlink" Target="https://clinicaltrials.gov/study/NCT02361554" TargetMode="External"/><Relationship Id="rId804" Type="http://schemas.openxmlformats.org/officeDocument/2006/relationships/hyperlink" Target="https://pubmed.ncbi.nlm.nih.gov/36807126" TargetMode="External"/><Relationship Id="rId1227" Type="http://schemas.openxmlformats.org/officeDocument/2006/relationships/hyperlink" Target="https://clinicaltrials.gov/study/NCT05389787" TargetMode="External"/><Relationship Id="rId1434" Type="http://schemas.openxmlformats.org/officeDocument/2006/relationships/hyperlink" Target="https://pubmed.ncbi.nlm.nih.gov/31685285" TargetMode="External"/><Relationship Id="rId1641" Type="http://schemas.openxmlformats.org/officeDocument/2006/relationships/hyperlink" Target="https://pubmed.ncbi.nlm.nih.gov/35012696" TargetMode="External"/><Relationship Id="rId1879" Type="http://schemas.openxmlformats.org/officeDocument/2006/relationships/hyperlink" Target="https://pubmed.ncbi.nlm.nih.gov/32216870" TargetMode="External"/><Relationship Id="rId1501" Type="http://schemas.openxmlformats.org/officeDocument/2006/relationships/hyperlink" Target="https://pubmed.ncbi.nlm.nih.gov/32539907" TargetMode="External"/><Relationship Id="rId1739" Type="http://schemas.openxmlformats.org/officeDocument/2006/relationships/hyperlink" Target="https://pubmed.ncbi.nlm.nih.gov/37232002" TargetMode="External"/><Relationship Id="rId1806" Type="http://schemas.openxmlformats.org/officeDocument/2006/relationships/hyperlink" Target="https://center6.umin.ac.jp/cgi-open-bin/ctr_e/ctr_view.cgi?recptno=R000045042" TargetMode="External"/><Relationship Id="rId387" Type="http://schemas.openxmlformats.org/officeDocument/2006/relationships/hyperlink" Target="https://clinicaltrials.gov/study/NCT05899348" TargetMode="External"/><Relationship Id="rId594" Type="http://schemas.openxmlformats.org/officeDocument/2006/relationships/hyperlink" Target="https://pubmed.ncbi.nlm.nih.gov/32679400" TargetMode="External"/><Relationship Id="rId247" Type="http://schemas.openxmlformats.org/officeDocument/2006/relationships/hyperlink" Target="https://clinicaltrials.gov/study/NCT05046353" TargetMode="External"/><Relationship Id="rId899" Type="http://schemas.openxmlformats.org/officeDocument/2006/relationships/hyperlink" Target="https://center6.umin.ac.jp/cgi-open-bin/ctr_e/ctr_view.cgi?recptno=R000051494" TargetMode="External"/><Relationship Id="rId1084" Type="http://schemas.openxmlformats.org/officeDocument/2006/relationships/hyperlink" Target="https://clinicaltrials.gov/study/NCT04461119" TargetMode="External"/><Relationship Id="rId107" Type="http://schemas.openxmlformats.org/officeDocument/2006/relationships/hyperlink" Target="https://clinicaltrials.gov/study/NCT04054973" TargetMode="External"/><Relationship Id="rId454" Type="http://schemas.openxmlformats.org/officeDocument/2006/relationships/hyperlink" Target="https://clinicaltrials.gov/study/NCT06486584" TargetMode="External"/><Relationship Id="rId661" Type="http://schemas.openxmlformats.org/officeDocument/2006/relationships/hyperlink" Target="https://pubmed.ncbi.nlm.nih.gov/33853701" TargetMode="External"/><Relationship Id="rId759" Type="http://schemas.openxmlformats.org/officeDocument/2006/relationships/hyperlink" Target="https://pubmed.ncbi.nlm.nih.gov/35704951" TargetMode="External"/><Relationship Id="rId966" Type="http://schemas.openxmlformats.org/officeDocument/2006/relationships/hyperlink" Target="https://jrct.niph.go.jp/en-latest-detail/jRCT2011210024" TargetMode="External"/><Relationship Id="rId1291" Type="http://schemas.openxmlformats.org/officeDocument/2006/relationships/hyperlink" Target="https://clinicaltrials.gov/study/NCT05823532" TargetMode="External"/><Relationship Id="rId1389" Type="http://schemas.openxmlformats.org/officeDocument/2006/relationships/hyperlink" Target="https://pubmed.ncbi.nlm.nih.gov/30822774" TargetMode="External"/><Relationship Id="rId1596" Type="http://schemas.openxmlformats.org/officeDocument/2006/relationships/hyperlink" Target="https://pubmed.ncbi.nlm.nih.gov/34242396" TargetMode="External"/><Relationship Id="rId314" Type="http://schemas.openxmlformats.org/officeDocument/2006/relationships/hyperlink" Target="https://clinicaltrials.gov/study/NCT05406440" TargetMode="External"/><Relationship Id="rId521" Type="http://schemas.openxmlformats.org/officeDocument/2006/relationships/hyperlink" Target="https://pubmed.ncbi.nlm.nih.gov/31688451" TargetMode="External"/><Relationship Id="rId619" Type="http://schemas.openxmlformats.org/officeDocument/2006/relationships/hyperlink" Target="https://pubmed.ncbi.nlm.nih.gov/33087170" TargetMode="External"/><Relationship Id="rId1151" Type="http://schemas.openxmlformats.org/officeDocument/2006/relationships/hyperlink" Target="https://clinicaltrials.gov/study/NCT04972227" TargetMode="External"/><Relationship Id="rId1249" Type="http://schemas.openxmlformats.org/officeDocument/2006/relationships/hyperlink" Target="https://clinicaltrials.gov/study/NCT05532683" TargetMode="External"/><Relationship Id="rId95" Type="http://schemas.openxmlformats.org/officeDocument/2006/relationships/hyperlink" Target="https://clinicaltrials.gov/study/NCT04005794" TargetMode="External"/><Relationship Id="rId826" Type="http://schemas.openxmlformats.org/officeDocument/2006/relationships/hyperlink" Target="https://pubmed.ncbi.nlm.nih.gov/37349110" TargetMode="External"/><Relationship Id="rId1011" Type="http://schemas.openxmlformats.org/officeDocument/2006/relationships/hyperlink" Target="https://clinicaltrials.gov/study/NCT04011280" TargetMode="External"/><Relationship Id="rId1109" Type="http://schemas.openxmlformats.org/officeDocument/2006/relationships/hyperlink" Target="https://clinicaltrials.gov/study/NCT04659161" TargetMode="External"/><Relationship Id="rId1456" Type="http://schemas.openxmlformats.org/officeDocument/2006/relationships/hyperlink" Target="https://pubmed.ncbi.nlm.nih.gov/31876117" TargetMode="External"/><Relationship Id="rId1663" Type="http://schemas.openxmlformats.org/officeDocument/2006/relationships/hyperlink" Target="https://pubmed.ncbi.nlm.nih.gov/35526293" TargetMode="External"/><Relationship Id="rId1870" Type="http://schemas.openxmlformats.org/officeDocument/2006/relationships/hyperlink" Target="https://pubmed.ncbi.nlm.nih.gov/31182351" TargetMode="External"/><Relationship Id="rId1316" Type="http://schemas.openxmlformats.org/officeDocument/2006/relationships/hyperlink" Target="https://clinicaltrials.gov/study/NCT06002958" TargetMode="External"/><Relationship Id="rId1523" Type="http://schemas.openxmlformats.org/officeDocument/2006/relationships/hyperlink" Target="https://pubmed.ncbi.nlm.nih.gov/32919407" TargetMode="External"/><Relationship Id="rId1730" Type="http://schemas.openxmlformats.org/officeDocument/2006/relationships/hyperlink" Target="https://pubmed.ncbi.nlm.nih.gov/36988483" TargetMode="External"/><Relationship Id="rId22" Type="http://schemas.openxmlformats.org/officeDocument/2006/relationships/hyperlink" Target="https://drks.de/search/en/trial/DRKS00029044" TargetMode="External"/><Relationship Id="rId1828" Type="http://schemas.openxmlformats.org/officeDocument/2006/relationships/hyperlink" Target="https://www.clinicaltrialsregister.eu/ctr-search/trial/2021-000350-26/ES" TargetMode="External"/><Relationship Id="rId171" Type="http://schemas.openxmlformats.org/officeDocument/2006/relationships/hyperlink" Target="https://clinicaltrials.gov/study/NCT04481217" TargetMode="External"/><Relationship Id="rId269" Type="http://schemas.openxmlformats.org/officeDocument/2006/relationships/hyperlink" Target="https://clinicaltrials.gov/study/NCT05184335" TargetMode="External"/><Relationship Id="rId476" Type="http://schemas.openxmlformats.org/officeDocument/2006/relationships/hyperlink" Target="https://pubmed.ncbi.nlm.nih.gov/30903287" TargetMode="External"/><Relationship Id="rId683" Type="http://schemas.openxmlformats.org/officeDocument/2006/relationships/hyperlink" Target="https://pubmed.ncbi.nlm.nih.gov/34261408" TargetMode="External"/><Relationship Id="rId890" Type="http://schemas.openxmlformats.org/officeDocument/2006/relationships/hyperlink" Target="https://center6.umin.ac.jp/cgi-open-bin/ctr_e/ctr_view.cgi?recptno=R000044835" TargetMode="External"/><Relationship Id="rId129" Type="http://schemas.openxmlformats.org/officeDocument/2006/relationships/hyperlink" Target="https://clinicaltrials.gov/study/NCT04182113" TargetMode="External"/><Relationship Id="rId336" Type="http://schemas.openxmlformats.org/officeDocument/2006/relationships/hyperlink" Target="https://clinicaltrials.gov/study/NCT05538832" TargetMode="External"/><Relationship Id="rId543" Type="http://schemas.openxmlformats.org/officeDocument/2006/relationships/hyperlink" Target="https://pubmed.ncbi.nlm.nih.gov/31883082" TargetMode="External"/><Relationship Id="rId988" Type="http://schemas.openxmlformats.org/officeDocument/2006/relationships/hyperlink" Target="https://clinicaltrials.gov/study/NCT02361554" TargetMode="External"/><Relationship Id="rId1173" Type="http://schemas.openxmlformats.org/officeDocument/2006/relationships/hyperlink" Target="https://clinicaltrials.gov/study/NCT05127837" TargetMode="External"/><Relationship Id="rId1380" Type="http://schemas.openxmlformats.org/officeDocument/2006/relationships/hyperlink" Target="https://pubmed.ncbi.nlm.nih.gov/30306884" TargetMode="External"/><Relationship Id="rId403" Type="http://schemas.openxmlformats.org/officeDocument/2006/relationships/hyperlink" Target="https://clinicaltrials.gov/study/NCT06036108" TargetMode="External"/><Relationship Id="rId750" Type="http://schemas.openxmlformats.org/officeDocument/2006/relationships/hyperlink" Target="https://pubmed.ncbi.nlm.nih.gov/35569003" TargetMode="External"/><Relationship Id="rId848" Type="http://schemas.openxmlformats.org/officeDocument/2006/relationships/hyperlink" Target="https://pubmed.ncbi.nlm.nih.gov/38053478" TargetMode="External"/><Relationship Id="rId1033" Type="http://schemas.openxmlformats.org/officeDocument/2006/relationships/hyperlink" Target="https://clinicaltrials.gov/study/NCT04124744" TargetMode="External"/><Relationship Id="rId1478" Type="http://schemas.openxmlformats.org/officeDocument/2006/relationships/hyperlink" Target="https://pubmed.ncbi.nlm.nih.gov/32220153" TargetMode="External"/><Relationship Id="rId1685" Type="http://schemas.openxmlformats.org/officeDocument/2006/relationships/hyperlink" Target="https://pubmed.ncbi.nlm.nih.gov/35953474" TargetMode="External"/><Relationship Id="rId1892" Type="http://schemas.openxmlformats.org/officeDocument/2006/relationships/hyperlink" Target="https://clinicaltrials.gov/study/NCT04148963" TargetMode="External"/><Relationship Id="rId610" Type="http://schemas.openxmlformats.org/officeDocument/2006/relationships/hyperlink" Target="https://pubmed.ncbi.nlm.nih.gov/32930011" TargetMode="External"/><Relationship Id="rId708" Type="http://schemas.openxmlformats.org/officeDocument/2006/relationships/hyperlink" Target="https://pubmed.ncbi.nlm.nih.gov/34673326" TargetMode="External"/><Relationship Id="rId915" Type="http://schemas.openxmlformats.org/officeDocument/2006/relationships/hyperlink" Target="https://www.clinicaltrialsregister.eu/ctr-search/trial/2021-001278-44/ES" TargetMode="External"/><Relationship Id="rId1240" Type="http://schemas.openxmlformats.org/officeDocument/2006/relationships/hyperlink" Target="https://clinicaltrials.gov/study/NCT05473741" TargetMode="External"/><Relationship Id="rId1338" Type="http://schemas.openxmlformats.org/officeDocument/2006/relationships/hyperlink" Target="https://clinicaltrials.gov/study/NCT06174116" TargetMode="External"/><Relationship Id="rId1545" Type="http://schemas.openxmlformats.org/officeDocument/2006/relationships/hyperlink" Target="https://pubmed.ncbi.nlm.nih.gov/33223272" TargetMode="External"/><Relationship Id="rId1100" Type="http://schemas.openxmlformats.org/officeDocument/2006/relationships/hyperlink" Target="https://clinicaltrials.gov/study/NCT04580134" TargetMode="External"/><Relationship Id="rId1405" Type="http://schemas.openxmlformats.org/officeDocument/2006/relationships/hyperlink" Target="https://pubmed.ncbi.nlm.nih.gov/31365044" TargetMode="External"/><Relationship Id="rId1752" Type="http://schemas.openxmlformats.org/officeDocument/2006/relationships/hyperlink" Target="https://pubmed.ncbi.nlm.nih.gov/37670161" TargetMode="External"/><Relationship Id="rId44" Type="http://schemas.openxmlformats.org/officeDocument/2006/relationships/hyperlink" Target="https://jrct.niph.go.jp/en-latest-detail/jRCT1032230108" TargetMode="External"/><Relationship Id="rId1612" Type="http://schemas.openxmlformats.org/officeDocument/2006/relationships/hyperlink" Target="https://pubmed.ncbi.nlm.nih.gov/34510196" TargetMode="External"/><Relationship Id="rId1917" Type="http://schemas.openxmlformats.org/officeDocument/2006/relationships/hyperlink" Target="https://pubmed.ncbi.nlm.nih.gov/30470592" TargetMode="External"/><Relationship Id="rId193" Type="http://schemas.openxmlformats.org/officeDocument/2006/relationships/hyperlink" Target="https://clinicaltrials.gov/study/NCT04655235" TargetMode="External"/><Relationship Id="rId498" Type="http://schemas.openxmlformats.org/officeDocument/2006/relationships/hyperlink" Target="https://pubmed.ncbi.nlm.nih.gov/31463563" TargetMode="External"/><Relationship Id="rId260" Type="http://schemas.openxmlformats.org/officeDocument/2006/relationships/hyperlink" Target="https://clinicaltrials.gov/study/NCT05131035" TargetMode="External"/><Relationship Id="rId120" Type="http://schemas.openxmlformats.org/officeDocument/2006/relationships/hyperlink" Target="https://clinicaltrials.gov/study/NCT04134871" TargetMode="External"/><Relationship Id="rId358" Type="http://schemas.openxmlformats.org/officeDocument/2006/relationships/hyperlink" Target="https://clinicaltrials.gov/study/NCT05693935" TargetMode="External"/><Relationship Id="rId565" Type="http://schemas.openxmlformats.org/officeDocument/2006/relationships/hyperlink" Target="https://pubmed.ncbi.nlm.nih.gov/32239365" TargetMode="External"/><Relationship Id="rId772" Type="http://schemas.openxmlformats.org/officeDocument/2006/relationships/hyperlink" Target="https://pubmed.ncbi.nlm.nih.gov/36031616" TargetMode="External"/><Relationship Id="rId1195" Type="http://schemas.openxmlformats.org/officeDocument/2006/relationships/hyperlink" Target="https://clinicaltrials.gov/study/NCT05247151" TargetMode="External"/><Relationship Id="rId218" Type="http://schemas.openxmlformats.org/officeDocument/2006/relationships/hyperlink" Target="https://clinicaltrials.gov/study/NCT04846881" TargetMode="External"/><Relationship Id="rId425" Type="http://schemas.openxmlformats.org/officeDocument/2006/relationships/hyperlink" Target="https://clinicaltrials.gov/study/NCT06191965" TargetMode="External"/><Relationship Id="rId632" Type="http://schemas.openxmlformats.org/officeDocument/2006/relationships/hyperlink" Target="https://pubmed.ncbi.nlm.nih.gov/33258788" TargetMode="External"/><Relationship Id="rId1055" Type="http://schemas.openxmlformats.org/officeDocument/2006/relationships/hyperlink" Target="https://clinicaltrials.gov/study/NCT04268303" TargetMode="External"/><Relationship Id="rId1262" Type="http://schemas.openxmlformats.org/officeDocument/2006/relationships/hyperlink" Target="https://clinicaltrials.gov/study/NCT05643196" TargetMode="External"/><Relationship Id="rId937" Type="http://schemas.openxmlformats.org/officeDocument/2006/relationships/hyperlink" Target="https://drks.de/search/en/trial/DRKS00029044" TargetMode="External"/><Relationship Id="rId1122" Type="http://schemas.openxmlformats.org/officeDocument/2006/relationships/hyperlink" Target="https://clinicaltrials.gov/study/NCT04779177" TargetMode="External"/><Relationship Id="rId1567" Type="http://schemas.openxmlformats.org/officeDocument/2006/relationships/hyperlink" Target="https://pubmed.ncbi.nlm.nih.gov/33630646" TargetMode="External"/><Relationship Id="rId1774" Type="http://schemas.openxmlformats.org/officeDocument/2006/relationships/hyperlink" Target="https://pubmed.ncbi.nlm.nih.gov/38309212" TargetMode="External"/><Relationship Id="rId66" Type="http://schemas.openxmlformats.org/officeDocument/2006/relationships/hyperlink" Target="https://jrct.niph.go.jp/en-latest-detail/jRCTs032200028" TargetMode="External"/><Relationship Id="rId1427" Type="http://schemas.openxmlformats.org/officeDocument/2006/relationships/hyperlink" Target="https://pubmed.ncbi.nlm.nih.gov/31641831" TargetMode="External"/><Relationship Id="rId1634" Type="http://schemas.openxmlformats.org/officeDocument/2006/relationships/hyperlink" Target="https://pubmed.ncbi.nlm.nih.gov/34896870" TargetMode="External"/><Relationship Id="rId1841" Type="http://schemas.openxmlformats.org/officeDocument/2006/relationships/hyperlink" Target="https://clinicaltrials.gov/study/NCT04562961" TargetMode="External"/><Relationship Id="rId1939" Type="http://schemas.openxmlformats.org/officeDocument/2006/relationships/hyperlink" Target="https://pubmed.ncbi.nlm.nih.gov/37929672" TargetMode="External"/><Relationship Id="rId1701" Type="http://schemas.openxmlformats.org/officeDocument/2006/relationships/hyperlink" Target="https://pubmed.ncbi.nlm.nih.gov/36401749" TargetMode="External"/><Relationship Id="rId282" Type="http://schemas.openxmlformats.org/officeDocument/2006/relationships/hyperlink" Target="https://clinicaltrials.gov/study/NCT05259306" TargetMode="External"/><Relationship Id="rId587" Type="http://schemas.openxmlformats.org/officeDocument/2006/relationships/hyperlink" Target="https://pubmed.ncbi.nlm.nih.gov/32606055" TargetMode="External"/><Relationship Id="rId8" Type="http://schemas.openxmlformats.org/officeDocument/2006/relationships/hyperlink" Target="https://drks.de/search/en/trial/DRKS00022214" TargetMode="External"/><Relationship Id="rId142" Type="http://schemas.openxmlformats.org/officeDocument/2006/relationships/hyperlink" Target="https://clinicaltrials.gov/study/NCT04278339" TargetMode="External"/><Relationship Id="rId447" Type="http://schemas.openxmlformats.org/officeDocument/2006/relationships/hyperlink" Target="https://clinicaltrials.gov/study/NCT06384521" TargetMode="External"/><Relationship Id="rId794" Type="http://schemas.openxmlformats.org/officeDocument/2006/relationships/hyperlink" Target="https://pubmed.ncbi.nlm.nih.gov/36558548" TargetMode="External"/><Relationship Id="rId1077" Type="http://schemas.openxmlformats.org/officeDocument/2006/relationships/hyperlink" Target="https://clinicaltrials.gov/study/NCT04414930" TargetMode="External"/><Relationship Id="rId654" Type="http://schemas.openxmlformats.org/officeDocument/2006/relationships/hyperlink" Target="https://pubmed.ncbi.nlm.nih.gov/33711781" TargetMode="External"/><Relationship Id="rId861" Type="http://schemas.openxmlformats.org/officeDocument/2006/relationships/hyperlink" Target="https://pubmed.ncbi.nlm.nih.gov/38372704" TargetMode="External"/><Relationship Id="rId959" Type="http://schemas.openxmlformats.org/officeDocument/2006/relationships/hyperlink" Target="https://jrct.niph.go.jp/en-latest-detail/jRCT1032230108" TargetMode="External"/><Relationship Id="rId1284" Type="http://schemas.openxmlformats.org/officeDocument/2006/relationships/hyperlink" Target="https://clinicaltrials.gov/study/NCT05746455" TargetMode="External"/><Relationship Id="rId1491" Type="http://schemas.openxmlformats.org/officeDocument/2006/relationships/hyperlink" Target="https://pubmed.ncbi.nlm.nih.gov/32393412" TargetMode="External"/><Relationship Id="rId1589" Type="http://schemas.openxmlformats.org/officeDocument/2006/relationships/hyperlink" Target="https://pubmed.ncbi.nlm.nih.gov/33998142" TargetMode="External"/><Relationship Id="rId307" Type="http://schemas.openxmlformats.org/officeDocument/2006/relationships/hyperlink" Target="https://clinicaltrials.gov/study/NCT05351736" TargetMode="External"/><Relationship Id="rId514" Type="http://schemas.openxmlformats.org/officeDocument/2006/relationships/hyperlink" Target="https://pubmed.ncbi.nlm.nih.gov/31648842" TargetMode="External"/><Relationship Id="rId721" Type="http://schemas.openxmlformats.org/officeDocument/2006/relationships/hyperlink" Target="https://pubmed.ncbi.nlm.nih.gov/34934115" TargetMode="External"/><Relationship Id="rId1144" Type="http://schemas.openxmlformats.org/officeDocument/2006/relationships/hyperlink" Target="https://clinicaltrials.gov/study/NCT04911010" TargetMode="External"/><Relationship Id="rId1351" Type="http://schemas.openxmlformats.org/officeDocument/2006/relationships/hyperlink" Target="https://clinicaltrials.gov/study/NCT06275451" TargetMode="External"/><Relationship Id="rId1449" Type="http://schemas.openxmlformats.org/officeDocument/2006/relationships/hyperlink" Target="https://pubmed.ncbi.nlm.nih.gov/31788985" TargetMode="External"/><Relationship Id="rId1796" Type="http://schemas.openxmlformats.org/officeDocument/2006/relationships/hyperlink" Target="https://pubmed.ncbi.nlm.nih.gov/38877468" TargetMode="External"/><Relationship Id="rId88" Type="http://schemas.openxmlformats.org/officeDocument/2006/relationships/hyperlink" Target="https://clinicaltrials.gov/study/NCT03975400" TargetMode="External"/><Relationship Id="rId819" Type="http://schemas.openxmlformats.org/officeDocument/2006/relationships/hyperlink" Target="https://pubmed.ncbi.nlm.nih.gov/37019033" TargetMode="External"/><Relationship Id="rId1004" Type="http://schemas.openxmlformats.org/officeDocument/2006/relationships/hyperlink" Target="https://clinicaltrials.gov/study/NCT03995368" TargetMode="External"/><Relationship Id="rId1211" Type="http://schemas.openxmlformats.org/officeDocument/2006/relationships/hyperlink" Target="https://clinicaltrials.gov/study/NCT05325645" TargetMode="External"/><Relationship Id="rId1656" Type="http://schemas.openxmlformats.org/officeDocument/2006/relationships/hyperlink" Target="https://pubmed.ncbi.nlm.nih.gov/35303462" TargetMode="External"/><Relationship Id="rId1863" Type="http://schemas.openxmlformats.org/officeDocument/2006/relationships/hyperlink" Target="https://pubmed.ncbi.nlm.nih.gov/37929672" TargetMode="External"/><Relationship Id="rId1309" Type="http://schemas.openxmlformats.org/officeDocument/2006/relationships/hyperlink" Target="https://clinicaltrials.gov/study/NCT05958875" TargetMode="External"/><Relationship Id="rId1516" Type="http://schemas.openxmlformats.org/officeDocument/2006/relationships/hyperlink" Target="https://pubmed.ncbi.nlm.nih.gov/32791894" TargetMode="External"/><Relationship Id="rId1723" Type="http://schemas.openxmlformats.org/officeDocument/2006/relationships/hyperlink" Target="https://pubmed.ncbi.nlm.nih.gov/36905498" TargetMode="External"/><Relationship Id="rId1930" Type="http://schemas.openxmlformats.org/officeDocument/2006/relationships/hyperlink" Target="https://pubmed.ncbi.nlm.nih.gov/34435395" TargetMode="External"/><Relationship Id="rId15" Type="http://schemas.openxmlformats.org/officeDocument/2006/relationships/hyperlink" Target="https://drks.de/search/en/trial/DRKS00025907" TargetMode="External"/><Relationship Id="rId164" Type="http://schemas.openxmlformats.org/officeDocument/2006/relationships/hyperlink" Target="https://clinicaltrials.gov/study/NCT04418466" TargetMode="External"/><Relationship Id="rId371" Type="http://schemas.openxmlformats.org/officeDocument/2006/relationships/hyperlink" Target="https://clinicaltrials.gov/study/NCT05748990" TargetMode="External"/><Relationship Id="rId469" Type="http://schemas.openxmlformats.org/officeDocument/2006/relationships/hyperlink" Target="https://pubmed.ncbi.nlm.nih.gov/30599145" TargetMode="External"/><Relationship Id="rId676" Type="http://schemas.openxmlformats.org/officeDocument/2006/relationships/hyperlink" Target="https://pubmed.ncbi.nlm.nih.gov/34015556" TargetMode="External"/><Relationship Id="rId883" Type="http://schemas.openxmlformats.org/officeDocument/2006/relationships/hyperlink" Target="https://pubmed.ncbi.nlm.nih.gov/39018073" TargetMode="External"/><Relationship Id="rId1099" Type="http://schemas.openxmlformats.org/officeDocument/2006/relationships/hyperlink" Target="https://clinicaltrials.gov/study/NCT04578756" TargetMode="External"/><Relationship Id="rId231" Type="http://schemas.openxmlformats.org/officeDocument/2006/relationships/hyperlink" Target="https://clinicaltrials.gov/study/NCT04940663" TargetMode="External"/><Relationship Id="rId329" Type="http://schemas.openxmlformats.org/officeDocument/2006/relationships/hyperlink" Target="https://clinicaltrials.gov/study/NCT05491486" TargetMode="External"/><Relationship Id="rId536" Type="http://schemas.openxmlformats.org/officeDocument/2006/relationships/hyperlink" Target="https://pubmed.ncbi.nlm.nih.gov/31831201" TargetMode="External"/><Relationship Id="rId1166" Type="http://schemas.openxmlformats.org/officeDocument/2006/relationships/hyperlink" Target="https://clinicaltrials.gov/study/NCT05105542" TargetMode="External"/><Relationship Id="rId1373" Type="http://schemas.openxmlformats.org/officeDocument/2006/relationships/hyperlink" Target="https://clinicaltrials.gov/study/NCT06505564" TargetMode="External"/><Relationship Id="rId743" Type="http://schemas.openxmlformats.org/officeDocument/2006/relationships/hyperlink" Target="https://pubmed.ncbi.nlm.nih.gov/35421287" TargetMode="External"/><Relationship Id="rId950" Type="http://schemas.openxmlformats.org/officeDocument/2006/relationships/hyperlink" Target="https://www.isrctn.com/ISRCTN77257074" TargetMode="External"/><Relationship Id="rId1026" Type="http://schemas.openxmlformats.org/officeDocument/2006/relationships/hyperlink" Target="https://clinicaltrials.gov/study/NCT04072575" TargetMode="External"/><Relationship Id="rId1580" Type="http://schemas.openxmlformats.org/officeDocument/2006/relationships/hyperlink" Target="https://pubmed.ncbi.nlm.nih.gov/33894334" TargetMode="External"/><Relationship Id="rId1678" Type="http://schemas.openxmlformats.org/officeDocument/2006/relationships/hyperlink" Target="https://pubmed.ncbi.nlm.nih.gov/35781191" TargetMode="External"/><Relationship Id="rId1885" Type="http://schemas.openxmlformats.org/officeDocument/2006/relationships/hyperlink" Target="https://pubmed.ncbi.nlm.nih.gov/35956935" TargetMode="External"/><Relationship Id="rId603" Type="http://schemas.openxmlformats.org/officeDocument/2006/relationships/hyperlink" Target="https://pubmed.ncbi.nlm.nih.gov/32841554" TargetMode="External"/><Relationship Id="rId810" Type="http://schemas.openxmlformats.org/officeDocument/2006/relationships/hyperlink" Target="https://pubmed.ncbi.nlm.nih.gov/36928351" TargetMode="External"/><Relationship Id="rId908" Type="http://schemas.openxmlformats.org/officeDocument/2006/relationships/hyperlink" Target="https://center6.umin.ac.jp/cgi-open-bin/ctr_e/ctr_view.cgi?recptno=R000058177" TargetMode="External"/><Relationship Id="rId1233" Type="http://schemas.openxmlformats.org/officeDocument/2006/relationships/hyperlink" Target="https://clinicaltrials.gov/study/NCT05440955" TargetMode="External"/><Relationship Id="rId1440" Type="http://schemas.openxmlformats.org/officeDocument/2006/relationships/hyperlink" Target="https://pubmed.ncbi.nlm.nih.gov/31722694" TargetMode="External"/><Relationship Id="rId1538" Type="http://schemas.openxmlformats.org/officeDocument/2006/relationships/hyperlink" Target="https://pubmed.ncbi.nlm.nih.gov/33141785" TargetMode="External"/><Relationship Id="rId1300" Type="http://schemas.openxmlformats.org/officeDocument/2006/relationships/hyperlink" Target="https://clinicaltrials.gov/study/NCT05890183" TargetMode="External"/><Relationship Id="rId1745" Type="http://schemas.openxmlformats.org/officeDocument/2006/relationships/hyperlink" Target="https://pubmed.ncbi.nlm.nih.gov/37494877" TargetMode="External"/><Relationship Id="rId37" Type="http://schemas.openxmlformats.org/officeDocument/2006/relationships/hyperlink" Target="https://www.isrctn.com/ISRCTN93382525" TargetMode="External"/><Relationship Id="rId1605" Type="http://schemas.openxmlformats.org/officeDocument/2006/relationships/hyperlink" Target="https://pubmed.ncbi.nlm.nih.gov/34332429" TargetMode="External"/><Relationship Id="rId1812" Type="http://schemas.openxmlformats.org/officeDocument/2006/relationships/hyperlink" Target="https://center6.umin.ac.jp/cgi-open-bin/ctr_e/ctr_view.cgi?recptno=R000049467" TargetMode="External"/><Relationship Id="rId186" Type="http://schemas.openxmlformats.org/officeDocument/2006/relationships/hyperlink" Target="https://clinicaltrials.gov/study/NCT04588129" TargetMode="External"/><Relationship Id="rId393" Type="http://schemas.openxmlformats.org/officeDocument/2006/relationships/hyperlink" Target="https://clinicaltrials.gov/study/NCT05956951"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cpp2020.com/ecpp/" TargetMode="External"/><Relationship Id="rId21" Type="http://schemas.openxmlformats.org/officeDocument/2006/relationships/hyperlink" Target="https://ucarecdn.com/89789383-19ba-4ada-ae6d-5482a8fa5a02/iarpp-2-symposium-2021-ita.pdf" TargetMode="External"/><Relationship Id="rId324" Type="http://schemas.openxmlformats.org/officeDocument/2006/relationships/hyperlink" Target="https://www.psychiatry.org/File%20Library/Psychiatrists/Meetings/Annual-Meeting/2021/2021-APA-Annual-Meeting-Syllabus-and-Proceedings.pdf" TargetMode="External"/><Relationship Id="rId531" Type="http://schemas.openxmlformats.org/officeDocument/2006/relationships/hyperlink" Target="https://experts.colorado.edu/display/conference_01481199230" TargetMode="External"/><Relationship Id="rId170" Type="http://schemas.openxmlformats.org/officeDocument/2006/relationships/hyperlink" Target="https://dnvp9c1uo2095.cloudfront.net/cms-content/DGN_Kongress-2024_Vorprogramm_WEB_1719227748211.pdf" TargetMode="External"/><Relationship Id="rId268" Type="http://schemas.openxmlformats.org/officeDocument/2006/relationships/hyperlink" Target="https://www.rcpsych.ac.uk/members/england/ny-mentorship/detail/2023/07/10/default-calendar/international-congress-2021" TargetMode="External"/><Relationship Id="rId475" Type="http://schemas.openxmlformats.org/officeDocument/2006/relationships/hyperlink" Target="https://www.aey-congresse.de/events/dgg-dggg-online-konferenz.html" TargetMode="External"/><Relationship Id="rId32" Type="http://schemas.openxmlformats.org/officeDocument/2006/relationships/hyperlink" Target="https://organizers-congress.org/frontend/index.php?page_id=9496&amp;v=List" TargetMode="External"/><Relationship Id="rId128" Type="http://schemas.openxmlformats.org/officeDocument/2006/relationships/hyperlink" Target="https://fesn-hnps2023.gr/wp-content/uploads/2023/09/FESN2023_Agenda_booklet_A4_Preview_new.pdf" TargetMode="External"/><Relationship Id="rId335" Type="http://schemas.openxmlformats.org/officeDocument/2006/relationships/hyperlink" Target="https://apsa.org/wp-content/uploads/2023/07/NM2022.pdf?ver" TargetMode="External"/><Relationship Id="rId542" Type="http://schemas.openxmlformats.org/officeDocument/2006/relationships/hyperlink" Target="https://sinpf2023.it/programma.pdf" TargetMode="External"/><Relationship Id="rId181" Type="http://schemas.openxmlformats.org/officeDocument/2006/relationships/hyperlink" Target="https://static1.squarespace.com/static/615473db7c95755fa2010965/t/66b4a9f57252903ac84cc198/1723116025802/SINPIA+PROGRAMMA+PRELIMINARE+-+update+08.08.24.pdf" TargetMode="External"/><Relationship Id="rId402" Type="http://schemas.openxmlformats.org/officeDocument/2006/relationships/hyperlink" Target="https://www.emedevents.com/c/medical-conferences-2020/2020-society-of-consulting-psychology-scp-annual-conference" TargetMode="External"/><Relationship Id="rId279" Type="http://schemas.openxmlformats.org/officeDocument/2006/relationships/hyperlink" Target="https://theaacn.org/conference-2024/agenda/" TargetMode="External"/><Relationship Id="rId486" Type="http://schemas.openxmlformats.org/officeDocument/2006/relationships/hyperlink" Target="https://psicogeriatria.it/xvii-brain-aging/" TargetMode="External"/><Relationship Id="rId43" Type="http://schemas.openxmlformats.org/officeDocument/2006/relationships/hyperlink" Target="https://www.cambridge.org/core/services/aop-cambridge-core/content/view/3BCBDBE82517B794069DC05136381104/S1355617721000953a.pdf/final_program_2020_virtual_event_international_neuropsychological_society_july_12_2020.pdf" TargetMode="External"/><Relationship Id="rId139" Type="http://schemas.openxmlformats.org/officeDocument/2006/relationships/hyperlink" Target="https://can-acn.org/meeting-2023/2023-program/" TargetMode="External"/><Relationship Id="rId346" Type="http://schemas.openxmlformats.org/officeDocument/2006/relationships/hyperlink" Target="https://www.abct.org/2024-convention/" TargetMode="External"/><Relationship Id="rId553" Type="http://schemas.openxmlformats.org/officeDocument/2006/relationships/hyperlink" Target="https://www.worlddementiacouncil.org/sites/default/files/2023-03/Summit%202023%20programme%20v2.pdf" TargetMode="External"/><Relationship Id="rId192" Type="http://schemas.openxmlformats.org/officeDocument/2006/relationships/hyperlink" Target="https://cs-oto3.com/jabct2023/program.html" TargetMode="External"/><Relationship Id="rId206" Type="http://schemas.openxmlformats.org/officeDocument/2006/relationships/hyperlink" Target="https://www.neurology-jp.org/neuro2020/en/program/download.html" TargetMode="External"/><Relationship Id="rId413" Type="http://schemas.openxmlformats.org/officeDocument/2006/relationships/hyperlink" Target="https://eugms2024.com/wp-content/uploads/2024/08/PROGRAM210824.pdf" TargetMode="External"/><Relationship Id="rId497" Type="http://schemas.openxmlformats.org/officeDocument/2006/relationships/hyperlink" Target="https://geriatria2023.com/images/site/QR-Programa_SEGG_A5.pdf" TargetMode="External"/><Relationship Id="rId357" Type="http://schemas.openxmlformats.org/officeDocument/2006/relationships/hyperlink" Target="https://sites.google.com/view/abpsi2022/schedule?authuser=0" TargetMode="External"/><Relationship Id="rId54" Type="http://schemas.openxmlformats.org/officeDocument/2006/relationships/hyperlink" Target="https://www.ispn-psych.org/assets/2024_Conference/2024%20Final%20Program%20v8.pdf" TargetMode="External"/><Relationship Id="rId217" Type="http://schemas.openxmlformats.org/officeDocument/2006/relationships/hyperlink" Target="http://naj44.umin.jp/program.html" TargetMode="External"/><Relationship Id="rId564" Type="http://schemas.openxmlformats.org/officeDocument/2006/relationships/hyperlink" Target="https://view.flipdocs.com/?ID=10026226_240780" TargetMode="External"/><Relationship Id="rId424" Type="http://schemas.openxmlformats.org/officeDocument/2006/relationships/hyperlink" Target="https://aaic.alz.org/releases_2020/overview-release.asp" TargetMode="External"/><Relationship Id="rId270" Type="http://schemas.openxmlformats.org/officeDocument/2006/relationships/hyperlink" Target="https://www.rcpsych.ac.uk/docs/default-source/events/congress/2021/ic21-programme-overview-v2.pdf?sfvrsn=4df2c9cc_44" TargetMode="External"/><Relationship Id="rId65" Type="http://schemas.openxmlformats.org/officeDocument/2006/relationships/hyperlink" Target="https://www.iconsofscarf.org/pdf/icons-2022-tenth-edition.pdf" TargetMode="External"/><Relationship Id="rId130" Type="http://schemas.openxmlformats.org/officeDocument/2006/relationships/hyperlink" Target="https://az659834.vo.msecnd.net/eventsaircaneprod/production-uottawacpd-public/403c2b9c41a64133b885ea26b7723b78" TargetMode="External"/><Relationship Id="rId368" Type="http://schemas.openxmlformats.org/officeDocument/2006/relationships/hyperlink" Target="https://wellbeingtrust.org/events/mental-health-america-2022-conference/" TargetMode="External"/><Relationship Id="rId228" Type="http://schemas.openxmlformats.org/officeDocument/2006/relationships/hyperlink" Target="https://congresofanpse.org/2024/" TargetMode="External"/><Relationship Id="rId435" Type="http://schemas.openxmlformats.org/officeDocument/2006/relationships/hyperlink" Target="https://www.cag2024.ca/program" TargetMode="External"/><Relationship Id="rId281" Type="http://schemas.openxmlformats.org/officeDocument/2006/relationships/hyperlink" Target="https://www.tandfonline.com/doi/abs/10.1080/13854046.2022.2054361" TargetMode="External"/><Relationship Id="rId337" Type="http://schemas.openxmlformats.org/officeDocument/2006/relationships/hyperlink" Target="https://apsa.org/wp-content/uploads/2023/07/NM2021.pdf?ver" TargetMode="External"/><Relationship Id="rId502" Type="http://schemas.openxmlformats.org/officeDocument/2006/relationships/hyperlink" Target="https://seegg.es/wp-content/uploads/2021/04/SEEGG_2021_Programa_v9.pdf" TargetMode="External"/><Relationship Id="rId34" Type="http://schemas.openxmlformats.org/officeDocument/2006/relationships/hyperlink" Target="https://airdrive.eventsair.com/eventsairaueprod/production-waldronsmith-public/2ac1c2c9b56c4e869a3ab67dba0cbc75" TargetMode="External"/><Relationship Id="rId76" Type="http://schemas.openxmlformats.org/officeDocument/2006/relationships/hyperlink" Target="https://wcp-congress.com/wp-content/uploads/sites/22/2023/09/WCP-23-program-at-a-glance-3.pdf" TargetMode="External"/><Relationship Id="rId141" Type="http://schemas.openxmlformats.org/officeDocument/2006/relationships/hyperlink" Target="https://can-acn.org/meeting-2021/program-2021/" TargetMode="External"/><Relationship Id="rId379" Type="http://schemas.openxmlformats.org/officeDocument/2006/relationships/hyperlink" Target="https://www.psychonomic.org/page/2021program" TargetMode="External"/><Relationship Id="rId544" Type="http://schemas.openxmlformats.org/officeDocument/2006/relationships/hyperlink" Target="https://www.morecomunicazione.it/wp-content/uploads/2020/08/xxii-congresso-nazionale-sinpf.pdf" TargetMode="External"/><Relationship Id="rId7" Type="http://schemas.openxmlformats.org/officeDocument/2006/relationships/hyperlink" Target="https://www.iacapap2024.com/ingles/programacao/index_track_cronologico.php" TargetMode="External"/><Relationship Id="rId183" Type="http://schemas.openxmlformats.org/officeDocument/2006/relationships/hyperlink" Target="https://www.neuro.it/web/procedure/dati_congresso.cfm?List=WsId&amp;c1=12876" TargetMode="External"/><Relationship Id="rId239" Type="http://schemas.openxmlformats.org/officeDocument/2006/relationships/hyperlink" Target="https://congresos.sepypna.com/wp-content/uploads/2022/04/Programa_SEPYPNA-2022.pdf" TargetMode="External"/><Relationship Id="rId390" Type="http://schemas.openxmlformats.org/officeDocument/2006/relationships/hyperlink" Target="https://www.spritalia.org/images/SPR_ITALIA/CONGRESSI/2024_PROGRAMMA_PROVVISORIO.pdf" TargetMode="External"/><Relationship Id="rId404" Type="http://schemas.openxmlformats.org/officeDocument/2006/relationships/hyperlink" Target="https://www.ipa-online.org/events/2024-international-congress/program" TargetMode="External"/><Relationship Id="rId446" Type="http://schemas.openxmlformats.org/officeDocument/2006/relationships/hyperlink" Target="https://www.rounenkango.com/shuukai/28kai/pro.html" TargetMode="External"/><Relationship Id="rId250" Type="http://schemas.openxmlformats.org/officeDocument/2006/relationships/hyperlink" Target="https://www.senc.es/wp-content/uploads/2022/04/Programa-Cajal-Conference-2022.pdf" TargetMode="External"/><Relationship Id="rId292" Type="http://schemas.openxmlformats.org/officeDocument/2006/relationships/hyperlink" Target="https://www.emedevents.com/c/medical-conferences-2021/american-association-for-geriatric-psychiatry-aagp-annual-meeting-2021" TargetMode="External"/><Relationship Id="rId306" Type="http://schemas.openxmlformats.org/officeDocument/2006/relationships/hyperlink" Target="https://higherlogicdownload.s3.amazonaws.com/AMHCA/6664039b-12a0-4d03-8199-32c785fe1687/UploadedImages/Conference/2024/2024_Brochure_042924.pdf" TargetMode="External"/><Relationship Id="rId488" Type="http://schemas.openxmlformats.org/officeDocument/2006/relationships/hyperlink" Target="https://www.facebook.com/events/833335730820769/?active_tab=discussion" TargetMode="External"/><Relationship Id="rId45" Type="http://schemas.openxmlformats.org/officeDocument/2006/relationships/hyperlink" Target="https://www.globalneuropsychology.org/program/final-program" TargetMode="External"/><Relationship Id="rId87" Type="http://schemas.openxmlformats.org/officeDocument/2006/relationships/hyperlink" Target="https://www.ibnsconnect.org/ibns-2023-niagara-falls-canada" TargetMode="External"/><Relationship Id="rId110" Type="http://schemas.openxmlformats.org/officeDocument/2006/relationships/hyperlink" Target="https://www.emedevents.com/c/medical-conferences-2022/17th-european-congress-of-psychology" TargetMode="External"/><Relationship Id="rId348" Type="http://schemas.openxmlformats.org/officeDocument/2006/relationships/hyperlink" Target="https://www.eventscribe.net/2022/ABCT/agenda.asp?pfp=days&amp;day=11/17/2022&amp;theday=Thursday&amp;h=Thursday%20November%2017&amp;BCFO=P|G" TargetMode="External"/><Relationship Id="rId513" Type="http://schemas.openxmlformats.org/officeDocument/2006/relationships/hyperlink" Target="https://www.gapna.org/sites/default/files/documents/conference/2023/2023_annual_brochure.pdf" TargetMode="External"/><Relationship Id="rId555" Type="http://schemas.openxmlformats.org/officeDocument/2006/relationships/hyperlink" Target="https://www.worlddementiacouncil.org/sites/default/files/2021-12/Programme%20%5Brevised%5D%20-%20WDC%20Summit%202021_0.pdf" TargetMode="External"/><Relationship Id="rId152" Type="http://schemas.openxmlformats.org/officeDocument/2006/relationships/hyperlink" Target="https://www.affep.fr/4e-journees-de-psychiatrie-adulte-de-la-federation-francaise-de-psychiatrie/" TargetMode="External"/><Relationship Id="rId194" Type="http://schemas.openxmlformats.org/officeDocument/2006/relationships/hyperlink" Target="https://www.m-messe.co.jp/event/detail/6670" TargetMode="External"/><Relationship Id="rId208" Type="http://schemas.openxmlformats.org/officeDocument/2006/relationships/hyperlink" Target="https://jssr17.camphor.jp/schedule/" TargetMode="External"/><Relationship Id="rId415" Type="http://schemas.openxmlformats.org/officeDocument/2006/relationships/hyperlink" Target="https://eugms2022.com/wp-content/uploads/2022/09/SCIENTIFICPROGRAM.pdf" TargetMode="External"/><Relationship Id="rId457" Type="http://schemas.openxmlformats.org/officeDocument/2006/relationships/hyperlink" Target="https://www.bgs.org.uk/sites/default/files/content/events/files/2022_Autumn_Hybrid_Programme_30.pdf" TargetMode="External"/><Relationship Id="rId261" Type="http://schemas.openxmlformats.org/officeDocument/2006/relationships/hyperlink" Target="https://bnpa.org.uk/wp-content/uploads/2023/09/BNPA-PROGRAMME-AND-ABSTRACT-BOOK-2023.pdf" TargetMode="External"/><Relationship Id="rId499" Type="http://schemas.openxmlformats.org/officeDocument/2006/relationships/hyperlink" Target="https://seegg.es/congresos-seegg/congreso-seegg-2024/" TargetMode="External"/><Relationship Id="rId14" Type="http://schemas.openxmlformats.org/officeDocument/2006/relationships/hyperlink" Target="https://iapsp.org/wp-content/uploads/2024/08/IAPSP-2024-Rome-Conference-Brochure.pdf" TargetMode="External"/><Relationship Id="rId56" Type="http://schemas.openxmlformats.org/officeDocument/2006/relationships/hyperlink" Target="https://www.ispn-psych.org/assets/2022_Conference/ISPN_2022_Final%20Program_L.pdf" TargetMode="External"/><Relationship Id="rId317" Type="http://schemas.openxmlformats.org/officeDocument/2006/relationships/hyperlink" Target="https://www.anpaonline.org/event-5070302" TargetMode="External"/><Relationship Id="rId359" Type="http://schemas.openxmlformats.org/officeDocument/2006/relationships/hyperlink" Target="https://www.fndsociety.org/biennial-meeting/2024/program" TargetMode="External"/><Relationship Id="rId524" Type="http://schemas.openxmlformats.org/officeDocument/2006/relationships/hyperlink" Target="https://www.youtube.com/playlist?list=PLFRd3c1FCNFH5Hm5ygcYGfINpk7g7KjqD" TargetMode="External"/><Relationship Id="rId566" Type="http://schemas.openxmlformats.org/officeDocument/2006/relationships/hyperlink" Target="https://ean-apps.m-anage.com/ean2024/en-GB/PAG" TargetMode="External"/><Relationship Id="rId98" Type="http://schemas.openxmlformats.org/officeDocument/2006/relationships/hyperlink" Target="https://www.ean.org/congress-2020/discover/digital-congress/scientific-programme" TargetMode="External"/><Relationship Id="rId121" Type="http://schemas.openxmlformats.org/officeDocument/2006/relationships/hyperlink" Target="https://cslide.ctimeetingtech.com/epa21/attendee/confcal" TargetMode="External"/><Relationship Id="rId163" Type="http://schemas.openxmlformats.org/officeDocument/2006/relationships/hyperlink" Target="https://profamille.site/congres-annuel-profamille-a-nice/" TargetMode="External"/><Relationship Id="rId219" Type="http://schemas.openxmlformats.org/officeDocument/2006/relationships/hyperlink" Target="https://jna28.org/timetable.html" TargetMode="External"/><Relationship Id="rId370" Type="http://schemas.openxmlformats.org/officeDocument/2006/relationships/hyperlink" Target="https://mhanational.org/sites/default/files/2020%20MHA%20Conference%20Sponsor%20and%20Promotional%20Opportunities%203.18.20.pdf" TargetMode="External"/><Relationship Id="rId426" Type="http://schemas.openxmlformats.org/officeDocument/2006/relationships/hyperlink" Target="https://www.alzheimer-europe.org/conferences/past-conferences/2023-helsinki/detailed-programme" TargetMode="External"/><Relationship Id="rId230" Type="http://schemas.openxmlformats.org/officeDocument/2006/relationships/hyperlink" Target="https://www.fundacioncerebroysalud.es/2020/03/11/cna-patrocina-xii-congreso-nacional-neuropsicologia-fanspe-celebrado-sevilla-los-dias-5-7-marzo/" TargetMode="External"/><Relationship Id="rId468" Type="http://schemas.openxmlformats.org/officeDocument/2006/relationships/hyperlink" Target="https://sfgg2020.process.y-congress.com/ScientificProcess/Schedule/?setLng=en" TargetMode="External"/><Relationship Id="rId25" Type="http://schemas.openxmlformats.org/officeDocument/2006/relationships/hyperlink" Target="https://cinp2024.org/wp-content/themes/CINP/file/CINP2024_Pocket%20Programs_v3.pdf" TargetMode="External"/><Relationship Id="rId67" Type="http://schemas.openxmlformats.org/officeDocument/2006/relationships/hyperlink" Target="https://www.pce2024.com/" TargetMode="External"/><Relationship Id="rId272" Type="http://schemas.openxmlformats.org/officeDocument/2006/relationships/hyperlink" Target="https://www.acadpsychclinicalscience.org/cmss_files/attachmentlibrary/2021_APCS_MembershipMeetingMinutes-72-.pdf" TargetMode="External"/><Relationship Id="rId328" Type="http://schemas.openxmlformats.org/officeDocument/2006/relationships/hyperlink" Target="https://bhwell.uky.edu/events/apna-36th-annual-conference-0" TargetMode="External"/><Relationship Id="rId535" Type="http://schemas.openxmlformats.org/officeDocument/2006/relationships/hyperlink" Target="https://www.dgbp.de/wp-content/uploads/2023/07/Gesamtprogramm2022_Stand_21.8.22.pdf" TargetMode="External"/><Relationship Id="rId132" Type="http://schemas.openxmlformats.org/officeDocument/2006/relationships/hyperlink" Target="https://az659834.vo.msecnd.net/eventsaircaneprod/production-uottawacpd-public/baee34b853fa402298607e2af64ea525" TargetMode="External"/><Relationship Id="rId174" Type="http://schemas.openxmlformats.org/officeDocument/2006/relationships/hyperlink" Target="https://g.allm.net/events/93-kongress-der-deutschen-gesellschaft-fur-neurologie/" TargetMode="External"/><Relationship Id="rId381" Type="http://schemas.openxmlformats.org/officeDocument/2006/relationships/hyperlink" Target="https://soblackneuro.org/2022-virtual-symposium/agenda/" TargetMode="External"/><Relationship Id="rId241" Type="http://schemas.openxmlformats.org/officeDocument/2006/relationships/hyperlink" Target="https://congresos.sepypna.com/wp-content/uploads/2020/03/2020-XXXII-Congreso-Santiago.pdf" TargetMode="External"/><Relationship Id="rId437" Type="http://schemas.openxmlformats.org/officeDocument/2006/relationships/hyperlink" Target="https://research.sehc.com/news-events/archive/2022/past-conferences" TargetMode="External"/><Relationship Id="rId479" Type="http://schemas.openxmlformats.org/officeDocument/2006/relationships/hyperlink" Target="http://2021.aipcongresso.it/medias/148-21-congresso-naizonale-aipprogramma.pdf" TargetMode="External"/><Relationship Id="rId36" Type="http://schemas.openxmlformats.org/officeDocument/2006/relationships/hyperlink" Target="https://the-ins.org/wp-content/uploads/2024/02/Program-book-NYC2024.pdf" TargetMode="External"/><Relationship Id="rId283" Type="http://schemas.openxmlformats.org/officeDocument/2006/relationships/hyperlink" Target="https://www.aan.com/msa/public/events/index/49" TargetMode="External"/><Relationship Id="rId339" Type="http://schemas.openxmlformats.org/officeDocument/2006/relationships/hyperlink" Target="https://apsa.org/wp-content/uploads/2023/07/NM2020.pdf?ver" TargetMode="External"/><Relationship Id="rId490" Type="http://schemas.openxmlformats.org/officeDocument/2006/relationships/hyperlink" Target="https://www.sigg.it/wp-content/uploads/2022/11/SIGG_2022_Programma_Definitivo.pdf" TargetMode="External"/><Relationship Id="rId504" Type="http://schemas.openxmlformats.org/officeDocument/2006/relationships/hyperlink" Target="https://meeting.americangeriatrics.org/2023-meeting-programs" TargetMode="External"/><Relationship Id="rId546" Type="http://schemas.openxmlformats.org/officeDocument/2006/relationships/hyperlink" Target="https://cslide.ctimeetingtech.com/adpd24/attendee" TargetMode="External"/><Relationship Id="rId78" Type="http://schemas.openxmlformats.org/officeDocument/2006/relationships/hyperlink" Target="https://congresoioptmh.godaddysites.com/program" TargetMode="External"/><Relationship Id="rId101" Type="http://schemas.openxmlformats.org/officeDocument/2006/relationships/hyperlink" Target="https://english.swps.pl/we-the-university/our-news-and-events/conferences-and-seminars/eaclipt-conference-clinical-psychology-now/program/program" TargetMode="External"/><Relationship Id="rId143" Type="http://schemas.openxmlformats.org/officeDocument/2006/relationships/hyperlink" Target="https://eventscribe.net/2023/cnsfcongress/SearchByBucket.asp?f=CustomPresfield4&amp;bm=Scientific%20Session&amp;pfp=BrowsebyBucket" TargetMode="External"/><Relationship Id="rId185" Type="http://schemas.openxmlformats.org/officeDocument/2006/relationships/hyperlink" Target="https://www.sinsec.it/wp-content/uploads/2022/10/12530_SINMilano2022rev4agg26102022.pdf" TargetMode="External"/><Relationship Id="rId350" Type="http://schemas.openxmlformats.org/officeDocument/2006/relationships/hyperlink" Target="https://conventionarchives.abct.org/conv2020/docs/Program_Book.pdf" TargetMode="External"/><Relationship Id="rId406" Type="http://schemas.openxmlformats.org/officeDocument/2006/relationships/hyperlink" Target="https://www.ipa-online.org/events/annual-congress/past-ipa-congresses" TargetMode="External"/><Relationship Id="rId9" Type="http://schemas.openxmlformats.org/officeDocument/2006/relationships/hyperlink" Target="https://iacapap2020.org/programme-overview/" TargetMode="External"/><Relationship Id="rId210" Type="http://schemas.openxmlformats.org/officeDocument/2006/relationships/hyperlink" Target="https://www.c-linkage.co.jp/jssr15/program/" TargetMode="External"/><Relationship Id="rId392" Type="http://schemas.openxmlformats.org/officeDocument/2006/relationships/hyperlink" Target="https://sites.google.com/view/naspr2023conference-mainwebsit/scientific-program?authuser=0" TargetMode="External"/><Relationship Id="rId448" Type="http://schemas.openxmlformats.org/officeDocument/2006/relationships/hyperlink" Target="https://www.rounenkango.com/shuukai/26kai/index.htm" TargetMode="External"/><Relationship Id="rId252" Type="http://schemas.openxmlformats.org/officeDocument/2006/relationships/hyperlink" Target="https://congresonacionaldepsiquiatria.es/web-2023/pdf/programa_CNP23.pdf" TargetMode="External"/><Relationship Id="rId294" Type="http://schemas.openxmlformats.org/officeDocument/2006/relationships/hyperlink" Target="https://rehabpsychconference.org/wp-content/uploads/2024/02/RP2024_ProgramSchedule_Updated_022424.pdf" TargetMode="External"/><Relationship Id="rId308" Type="http://schemas.openxmlformats.org/officeDocument/2006/relationships/hyperlink" Target="https://www.amhca.org/events/eventdescription?CalendarEventKey=16ab2f4e-4bcf-4fbd-8b7f-c46075372577&amp;Home=%2Fevents%2Fupcomingevents" TargetMode="External"/><Relationship Id="rId515" Type="http://schemas.openxmlformats.org/officeDocument/2006/relationships/hyperlink" Target="https://www.gapna.org/sites/default/files/documents/conference/2021/2021_annual_brochure.pdf" TargetMode="External"/><Relationship Id="rId47" Type="http://schemas.openxmlformats.org/officeDocument/2006/relationships/hyperlink" Target="https://www.ipa.world/IPA/en/news_and_events/Congress_programme.aspx" TargetMode="External"/><Relationship Id="rId89" Type="http://schemas.openxmlformats.org/officeDocument/2006/relationships/hyperlink" Target="https://view.flipdocs.com/?ID=10026226_544111" TargetMode="External"/><Relationship Id="rId112" Type="http://schemas.openxmlformats.org/officeDocument/2006/relationships/hyperlink" Target="https://2023.ehps.net/wp-content/uploads/2023/09/ehps23_final_programme_05_09.pdf" TargetMode="External"/><Relationship Id="rId154" Type="http://schemas.openxmlformats.org/officeDocument/2006/relationships/hyperlink" Target="https://congres.sfpeada.fr/page/journees" TargetMode="External"/><Relationship Id="rId361" Type="http://schemas.openxmlformats.org/officeDocument/2006/relationships/hyperlink" Target="https://ispsusconference2024.sched.com/print" TargetMode="External"/><Relationship Id="rId557" Type="http://schemas.openxmlformats.org/officeDocument/2006/relationships/hyperlink" Target="https://alzheimers.magnusconferences.com/speakers/2022" TargetMode="External"/><Relationship Id="rId196" Type="http://schemas.openxmlformats.org/officeDocument/2006/relationships/hyperlink" Target="https://convention.jtbcom.co.jp/jspc2024/program/index.html" TargetMode="External"/><Relationship Id="rId417" Type="http://schemas.openxmlformats.org/officeDocument/2006/relationships/hyperlink" Target="https://www.eugms.org/2020.html" TargetMode="External"/><Relationship Id="rId459" Type="http://schemas.openxmlformats.org/officeDocument/2006/relationships/hyperlink" Target="https://www.bgs.org.uk/sites/default/files/content/events/files/2024_Spring_Prog%202_28.pdf" TargetMode="External"/><Relationship Id="rId16" Type="http://schemas.openxmlformats.org/officeDocument/2006/relationships/hyperlink" Target="https://iapsp.org/wp-content/uploads/2022/09/IAPSP-2022-CONFERENCE-BROCHURE.pdf" TargetMode="External"/><Relationship Id="rId221" Type="http://schemas.openxmlformats.org/officeDocument/2006/relationships/hyperlink" Target="http://184.73.219.23/shinkei/ivent.htm" TargetMode="External"/><Relationship Id="rId263" Type="http://schemas.openxmlformats.org/officeDocument/2006/relationships/hyperlink" Target="https://bnpa.org.uk/wp-content/uploads/2020/11/11-March-2021-Online-Programme.pdf" TargetMode="External"/><Relationship Id="rId319" Type="http://schemas.openxmlformats.org/officeDocument/2006/relationships/hyperlink" Target="https://anpaonline.org/event-4109263" TargetMode="External"/><Relationship Id="rId470" Type="http://schemas.openxmlformats.org/officeDocument/2006/relationships/hyperlink" Target="https://sf3pa-congres.com/wp-content/uploads/2023/04/SF3PA2023Programme.pdf" TargetMode="External"/><Relationship Id="rId526" Type="http://schemas.openxmlformats.org/officeDocument/2006/relationships/hyperlink" Target="https://canadiangeriatrics.ca/2024-Program" TargetMode="External"/><Relationship Id="rId58" Type="http://schemas.openxmlformats.org/officeDocument/2006/relationships/hyperlink" Target="https://www.ispn-psych.org/assets/docs/2020annualmeeting/ISPN_2020_Virtual_Program_B.pdf" TargetMode="External"/><Relationship Id="rId123" Type="http://schemas.openxmlformats.org/officeDocument/2006/relationships/hyperlink" Target="https://www.schizophrenianet.eu/scientific-programme/final-programme.html" TargetMode="External"/><Relationship Id="rId330" Type="http://schemas.openxmlformats.org/officeDocument/2006/relationships/hyperlink" Target="https://m.eventsinamerica.com/events/apna-34th-annual-conference-american-psychiatric-nurses-association/medical-pharma/nursing/ve72choclarhpcw1" TargetMode="External"/><Relationship Id="rId568" Type="http://schemas.openxmlformats.org/officeDocument/2006/relationships/hyperlink" Target="https://dgps2024.univie.ac.at/fileadmin/user_upload/k_dgps2020/Programmheft_14092024.pdf" TargetMode="External"/><Relationship Id="rId165" Type="http://schemas.openxmlformats.org/officeDocument/2006/relationships/hyperlink" Target="https://www.escap.eu/uploads/Events/Maastricht%202021/escap-2022-programme-accreditation-version.pdf" TargetMode="External"/><Relationship Id="rId372" Type="http://schemas.openxmlformats.org/officeDocument/2006/relationships/hyperlink" Target="https://nan2023.eventscribe.net/agenda.asp?BCFO=&amp;pfp=BrowsebyDay&amp;fa=&amp;fb=&amp;fc=&amp;fd=&amp;all=1&amp;mode=" TargetMode="External"/><Relationship Id="rId428" Type="http://schemas.openxmlformats.org/officeDocument/2006/relationships/hyperlink" Target="https://www.alzheimer-europe.org/conferences/past-conferences/2021-online/programme-and-abstracts" TargetMode="External"/><Relationship Id="rId232" Type="http://schemas.openxmlformats.org/officeDocument/2006/relationships/hyperlink" Target="https://aepnya.es/wp-content/uploads/2023/06/DEF_PRGM_VLC_AEPNYA66_b2-1.pdf" TargetMode="External"/><Relationship Id="rId274" Type="http://schemas.openxmlformats.org/officeDocument/2006/relationships/hyperlink" Target="https://aacap.confex.com/aacap/2024/meetingapp.cgi/Day/2024-10-13" TargetMode="External"/><Relationship Id="rId481" Type="http://schemas.openxmlformats.org/officeDocument/2006/relationships/hyperlink" Target="https://www.acsamedical.it/wp-content/uploads/2024/05/2024_06_6-8-6%C2%B0-congresso-nazionale-GIOVANI-AIP.pdf" TargetMode="External"/><Relationship Id="rId27" Type="http://schemas.openxmlformats.org/officeDocument/2006/relationships/hyperlink" Target="https://www.youtube.com/watch?v=-0DggBk-0mQ&amp;list=PLYqBT0WyWbMkNi0dm6lAnXD2_ck4EAdys" TargetMode="External"/><Relationship Id="rId69" Type="http://schemas.openxmlformats.org/officeDocument/2006/relationships/hyperlink" Target="https://www.pce-world.org/events/pce-conferences/14th-pce-conference.html" TargetMode="External"/><Relationship Id="rId134" Type="http://schemas.openxmlformats.org/officeDocument/2006/relationships/hyperlink" Target="https://www.cagp.ca/2023-Program" TargetMode="External"/><Relationship Id="rId537" Type="http://schemas.openxmlformats.org/officeDocument/2006/relationships/hyperlink" Target="https://ccnp.ca/Meeting" TargetMode="External"/><Relationship Id="rId80" Type="http://schemas.openxmlformats.org/officeDocument/2006/relationships/hyperlink" Target="https://www.csp.org.uk/system/files/documents/2022-11/abstract_book_icpppmh_2020.pdf" TargetMode="External"/><Relationship Id="rId176" Type="http://schemas.openxmlformats.org/officeDocument/2006/relationships/hyperlink" Target="https://www.istitutogaetanobenedetti.eu/wp-content/uploads/2020/10/Congresso-Nazionale-ISPS-23-e-24-Ottobre-2020.pdf" TargetMode="External"/><Relationship Id="rId341" Type="http://schemas.openxmlformats.org/officeDocument/2006/relationships/hyperlink" Target="https://convention.apa.org/agenda/agenda-at-a-glance" TargetMode="External"/><Relationship Id="rId383" Type="http://schemas.openxmlformats.org/officeDocument/2006/relationships/hyperlink" Target="https://spsp.org/sites/default/files/2024-02/SPSP-2024-Convention-Program.pdf" TargetMode="External"/><Relationship Id="rId439" Type="http://schemas.openxmlformats.org/officeDocument/2006/relationships/hyperlink" Target="https://cagacg.ca/asem/cag2020/" TargetMode="External"/><Relationship Id="rId201" Type="http://schemas.openxmlformats.org/officeDocument/2006/relationships/hyperlink" Target="https://www2.aeplan.co.jp/jscnp2021/program.html" TargetMode="External"/><Relationship Id="rId243" Type="http://schemas.openxmlformats.org/officeDocument/2006/relationships/hyperlink" Target="https://www.anpir.org/wp-content/uploads/Triptico-ANPIR-2023-v.12.pdf" TargetMode="External"/><Relationship Id="rId285" Type="http://schemas.openxmlformats.org/officeDocument/2006/relationships/hyperlink" Target="https://www.aan.com/MSA/Public/Events/Index/43" TargetMode="External"/><Relationship Id="rId450" Type="http://schemas.openxmlformats.org/officeDocument/2006/relationships/hyperlink" Target="https://www.britishgerontology.org/events-and-courses/bsg-annual-conference" TargetMode="External"/><Relationship Id="rId506" Type="http://schemas.openxmlformats.org/officeDocument/2006/relationships/hyperlink" Target="https://agsjournals.onlinelibrary.wiley.com/doi/10.1111/jgs.17116" TargetMode="External"/><Relationship Id="rId38" Type="http://schemas.openxmlformats.org/officeDocument/2006/relationships/hyperlink" Target="https://the-ins.org/files/meetings/sandiego2023/program-book/San_Diego_2023-program_book.pdf" TargetMode="External"/><Relationship Id="rId103" Type="http://schemas.openxmlformats.org/officeDocument/2006/relationships/hyperlink" Target="https://www.ecnp.eu/congress2024/ECNPcongress/programme/programme" TargetMode="External"/><Relationship Id="rId310" Type="http://schemas.openxmlformats.org/officeDocument/2006/relationships/hyperlink" Target="https://www.amhca.org/20conference" TargetMode="External"/><Relationship Id="rId492" Type="http://schemas.openxmlformats.org/officeDocument/2006/relationships/hyperlink" Target="https://www.sigg.it/wp-content/uploads/2021/01/SIGG2020_programma-scientifico_12.01.2021.pdf" TargetMode="External"/><Relationship Id="rId548" Type="http://schemas.openxmlformats.org/officeDocument/2006/relationships/hyperlink" Target="https://cslide.ctimeetingtech.com/adpd22/attendee/confcal/session/calendar/2022-03-15" TargetMode="External"/><Relationship Id="rId91" Type="http://schemas.openxmlformats.org/officeDocument/2006/relationships/hyperlink" Target="https://www.sfn.org/-/media/SfN/Documents/NEW-SfN/Meetings/Neuroscience-2022/Sessions-and-Events/2022_Program-and-Exhibit-Guide.pdf" TargetMode="External"/><Relationship Id="rId145" Type="http://schemas.openxmlformats.org/officeDocument/2006/relationships/hyperlink" Target="https://www.cpa-apc.org/schedule/" TargetMode="External"/><Relationship Id="rId187" Type="http://schemas.openxmlformats.org/officeDocument/2006/relationships/hyperlink" Target="https://www.congre.co.jp/japh13/program/index.html" TargetMode="External"/><Relationship Id="rId352" Type="http://schemas.openxmlformats.org/officeDocument/2006/relationships/hyperlink" Target="https://www.psychologicalscience.org/redesign/wp-content/uploads/2024/02/Program_Book_APS_2023.pdf" TargetMode="External"/><Relationship Id="rId394" Type="http://schemas.openxmlformats.org/officeDocument/2006/relationships/hyperlink" Target="https://cdn.ymaws.com/www.psychotherapyresearch.org/resource/resmgr/eu-spr/EU-SPR2022_Program.pdf" TargetMode="External"/><Relationship Id="rId408" Type="http://schemas.openxmlformats.org/officeDocument/2006/relationships/hyperlink" Target="https://www.ctad-alzheimer.com/files/files/ProgramPrel_CTAD2024_16%20juillet.pdf" TargetMode="External"/><Relationship Id="rId212" Type="http://schemas.openxmlformats.org/officeDocument/2006/relationships/hyperlink" Target="https://seishinhoken.jp/events/01gbcshvyr8gprw72qyv1t7bce" TargetMode="External"/><Relationship Id="rId254" Type="http://schemas.openxmlformats.org/officeDocument/2006/relationships/hyperlink" Target="https://congresonacionaldepsiquiatria.es/web-2021/pdf/programa_cnp21.pdf" TargetMode="External"/><Relationship Id="rId49" Type="http://schemas.openxmlformats.org/officeDocument/2006/relationships/hyperlink" Target="https://isbngroup.net/2023-hamburg-germany" TargetMode="External"/><Relationship Id="rId114" Type="http://schemas.openxmlformats.org/officeDocument/2006/relationships/hyperlink" Target="https://2021.ehps.net/wp-content/uploads/2021/07/ehps21_full_programme.pdf" TargetMode="External"/><Relationship Id="rId296" Type="http://schemas.openxmlformats.org/officeDocument/2006/relationships/hyperlink" Target="https://acnp.societyconference.com/conf/" TargetMode="External"/><Relationship Id="rId461" Type="http://schemas.openxmlformats.org/officeDocument/2006/relationships/hyperlink" Target="https://www.bgs.org.uk/sites/default/files/content/events/files/2022_Spring_Online_Programme_26.pdf" TargetMode="External"/><Relationship Id="rId517" Type="http://schemas.openxmlformats.org/officeDocument/2006/relationships/hyperlink" Target="https://www.usagainstalzheimers.org/AlzSummit" TargetMode="External"/><Relationship Id="rId559" Type="http://schemas.openxmlformats.org/officeDocument/2006/relationships/hyperlink" Target="https://cslide.ctimeetingtech.com/wcp21/attendee/confcal/session/list" TargetMode="External"/><Relationship Id="rId60" Type="http://schemas.openxmlformats.org/officeDocument/2006/relationships/hyperlink" Target="https://schizophreniaresearchsociety.org/wp-content/uploads/2022/09/2023-Corporate-Support-Brochure.pdf" TargetMode="External"/><Relationship Id="rId156" Type="http://schemas.openxmlformats.org/officeDocument/2006/relationships/hyperlink" Target="https://sfpeada.fr/congres-de-la-sfpeada-2022/" TargetMode="External"/><Relationship Id="rId198" Type="http://schemas.openxmlformats.org/officeDocument/2006/relationships/hyperlink" Target="https://www.okinawa-congre.co.jp/jsbp2023/files/program.pdf" TargetMode="External"/><Relationship Id="rId321" Type="http://schemas.openxmlformats.org/officeDocument/2006/relationships/hyperlink" Target="https://www.psychiatry.org/psychiatrists/meetings/annual-meeting/schedule-at-a-glance" TargetMode="External"/><Relationship Id="rId363" Type="http://schemas.openxmlformats.org/officeDocument/2006/relationships/hyperlink" Target="https://ispsusconference.sched.com/print" TargetMode="External"/><Relationship Id="rId419" Type="http://schemas.openxmlformats.org/officeDocument/2006/relationships/hyperlink" Target="https://www.alzdiscovery.org/events/event/21st-international-conference-on-alzheimers-drug-discovery" TargetMode="External"/><Relationship Id="rId570" Type="http://schemas.openxmlformats.org/officeDocument/2006/relationships/hyperlink" Target="https://bipeek-resources-onsite-prd.s3.amazonaws.com/31344/FANPSE-PROGRAMA.pdf?v=1686750559" TargetMode="External"/><Relationship Id="rId223" Type="http://schemas.openxmlformats.org/officeDocument/2006/relationships/hyperlink" Target="http://bpcnpnppp2022.umin.jp/program.html" TargetMode="External"/><Relationship Id="rId430" Type="http://schemas.openxmlformats.org/officeDocument/2006/relationships/hyperlink" Target="https://www.alzheimersresearchuk.org/research/for-researchers/research-conference/past-events/research-conference-2024/scientific-programme-2024/" TargetMode="External"/><Relationship Id="rId18" Type="http://schemas.openxmlformats.org/officeDocument/2006/relationships/hyperlink" Target="https://iarpp.net/thesite/wp-content/uploads/2022/08/Valencia_Brochure_V7June10.pdf" TargetMode="External"/><Relationship Id="rId265" Type="http://schemas.openxmlformats.org/officeDocument/2006/relationships/hyperlink" Target="https://meetings.bna.org.uk/bna2023/prog/programme-day/" TargetMode="External"/><Relationship Id="rId472" Type="http://schemas.openxmlformats.org/officeDocument/2006/relationships/hyperlink" Target="https://www.gerontologie-geriatrie-kongress.org/programm.html" TargetMode="External"/><Relationship Id="rId528" Type="http://schemas.openxmlformats.org/officeDocument/2006/relationships/hyperlink" Target="https://canadiangeriatrics.ca/2022-Program" TargetMode="External"/><Relationship Id="rId125" Type="http://schemas.openxmlformats.org/officeDocument/2006/relationships/hyperlink" Target="https://fens2024.abstractserver.com/program/" TargetMode="External"/><Relationship Id="rId167" Type="http://schemas.openxmlformats.org/officeDocument/2006/relationships/hyperlink" Target="https://www.dgkjp-kongress.de/programm/online-programm.html" TargetMode="External"/><Relationship Id="rId332" Type="http://schemas.openxmlformats.org/officeDocument/2006/relationships/hyperlink" Target="https://apsa.org/wp-content/uploads/2024/04/113th-AM-FINAL-program-1.pdf" TargetMode="External"/><Relationship Id="rId374" Type="http://schemas.openxmlformats.org/officeDocument/2006/relationships/hyperlink" Target="https://www.nanonline.org/NAN/_ContinuingEducation/_Conference/2021_DC/2021_Conference.aspx" TargetMode="External"/><Relationship Id="rId71" Type="http://schemas.openxmlformats.org/officeDocument/2006/relationships/hyperlink" Target="https://archive.menaconference.com/mena_conference_gallery/WAPR_CONFERENCE_2021_Brochure_pdf_23Oct2021123457.pdf" TargetMode="External"/><Relationship Id="rId234" Type="http://schemas.openxmlformats.org/officeDocument/2006/relationships/hyperlink" Target="https://aepnya.es/wp-content/uploads/2022/11/PROGRAMA-AEPNYA-1.pdf" TargetMode="External"/><Relationship Id="rId2" Type="http://schemas.openxmlformats.org/officeDocument/2006/relationships/hyperlink" Target="https://icp2024.com/scientific-programme/" TargetMode="External"/><Relationship Id="rId29" Type="http://schemas.openxmlformats.org/officeDocument/2006/relationships/hyperlink" Target="https://icpweb.org/icp-annual-conference/icp2022-programoverview/" TargetMode="External"/><Relationship Id="rId276" Type="http://schemas.openxmlformats.org/officeDocument/2006/relationships/hyperlink" Target="https://aacap.confex.com/aacap/2022/meetingapp.cgi/Day/2022-10-17" TargetMode="External"/><Relationship Id="rId441" Type="http://schemas.openxmlformats.org/officeDocument/2006/relationships/hyperlink" Target="https://www.jpn-geriat-soc.or.jp/shukai_tihou/shukai/boshu_65.html" TargetMode="External"/><Relationship Id="rId483" Type="http://schemas.openxmlformats.org/officeDocument/2006/relationships/hyperlink" Target="https://psicogeriatria.it/4-congresso-nazionale-giovani-aip/" TargetMode="External"/><Relationship Id="rId539" Type="http://schemas.openxmlformats.org/officeDocument/2006/relationships/hyperlink" Target="https://ccnp.ca/Content/PDF/CCNP_Program_2022.pdf" TargetMode="External"/><Relationship Id="rId40" Type="http://schemas.openxmlformats.org/officeDocument/2006/relationships/hyperlink" Target="https://the-ins.org/files/meetings/nola2022/program_book/NOLA%202022%20Oxford%20Abstracts%20Program_Final.pdf" TargetMode="External"/><Relationship Id="rId136" Type="http://schemas.openxmlformats.org/officeDocument/2006/relationships/hyperlink" Target="https://www.cagp.ca/2021-ASM-Program/" TargetMode="External"/><Relationship Id="rId178" Type="http://schemas.openxmlformats.org/officeDocument/2006/relationships/hyperlink" Target="https://www.aipp-italia.com/wp-content/uploads/2021/09/VIII-CONGRESSO-AIPP-2021_PROGRAMMA.pdf" TargetMode="External"/><Relationship Id="rId301" Type="http://schemas.openxmlformats.org/officeDocument/2006/relationships/hyperlink" Target="https://agpa.org/docs/default-source/agpa-connect-2024/2024-agpa-connect-printed-program-final-1-10-24.pdf" TargetMode="External"/><Relationship Id="rId343" Type="http://schemas.openxmlformats.org/officeDocument/2006/relationships/hyperlink" Target="https://app.core-apps.com/apa2022/events/view_by_day?day=Aug++4&amp;tracks=&amp;type=" TargetMode="External"/><Relationship Id="rId550" Type="http://schemas.openxmlformats.org/officeDocument/2006/relationships/hyperlink" Target="https://www.dementiaconference.com/program" TargetMode="External"/><Relationship Id="rId82" Type="http://schemas.openxmlformats.org/officeDocument/2006/relationships/hyperlink" Target="https://contextualscience.org/sites/default/files/2024-07/WC2024%20Program%20-%20English%20-%207.10.pdf" TargetMode="External"/><Relationship Id="rId203" Type="http://schemas.openxmlformats.org/officeDocument/2006/relationships/hyperlink" Target="https://www.neurology-jp.org/neuro2023/en/program/download.html" TargetMode="External"/><Relationship Id="rId385" Type="http://schemas.openxmlformats.org/officeDocument/2006/relationships/hyperlink" Target="https://spsp.org/sites/default/files/2023-04/SPSP-2022-Convention-Agenda-2.pdf" TargetMode="External"/><Relationship Id="rId245" Type="http://schemas.openxmlformats.org/officeDocument/2006/relationships/hyperlink" Target="https://reunion.sen.es/index.php/" TargetMode="External"/><Relationship Id="rId287" Type="http://schemas.openxmlformats.org/officeDocument/2006/relationships/hyperlink" Target="https://www.aan.com/pdfprinter/api/print?filename=2020+Annual+Meeting&amp;url=https://www.aan.com/msa/public/events/index/31?print=true" TargetMode="External"/><Relationship Id="rId410" Type="http://schemas.openxmlformats.org/officeDocument/2006/relationships/hyperlink" Target="https://www.ctad-alzheimer.com/files/files/ProgramPrel_CTAD2022_4nov.pdf" TargetMode="External"/><Relationship Id="rId452" Type="http://schemas.openxmlformats.org/officeDocument/2006/relationships/hyperlink" Target="https://www.britishgerontology.org/events-and-courses/past-conferences/2022-uwe-bristol" TargetMode="External"/><Relationship Id="rId494" Type="http://schemas.openxmlformats.org/officeDocument/2006/relationships/hyperlink" Target="https://congreso2023.sepg.es/pagina/programa" TargetMode="External"/><Relationship Id="rId508" Type="http://schemas.openxmlformats.org/officeDocument/2006/relationships/hyperlink" Target="https://gsa2023.eventscribe.net/agenda.asp?pfp=PresentationsFullSched" TargetMode="External"/><Relationship Id="rId105" Type="http://schemas.openxmlformats.org/officeDocument/2006/relationships/hyperlink" Target="https://www.ecnp.eu/about-ecnp/history/past-ecnp-meetings/past-congresses/vienna2022/programme" TargetMode="External"/><Relationship Id="rId147" Type="http://schemas.openxmlformats.org/officeDocument/2006/relationships/hyperlink" Target="https://cpa.ca/docs/File/Convention/2024/CPA%202024%20Event%20-%20Convention%20Guide_WEB.pdf" TargetMode="External"/><Relationship Id="rId312" Type="http://schemas.openxmlformats.org/officeDocument/2006/relationships/hyperlink" Target="https://myana.org/sites/ana/files/images/2023/2023_ana_finalprogram_091123.pdf" TargetMode="External"/><Relationship Id="rId354" Type="http://schemas.openxmlformats.org/officeDocument/2006/relationships/hyperlink" Target="https://www.psychologicalscience.org/redesign/wp-content/uploads/2021/05/APS_2021_Virtual_Convention_interacive.pdf" TargetMode="External"/><Relationship Id="rId51" Type="http://schemas.openxmlformats.org/officeDocument/2006/relationships/hyperlink" Target="https://isbngroup.net/2021-virtual-meeting" TargetMode="External"/><Relationship Id="rId93" Type="http://schemas.openxmlformats.org/officeDocument/2006/relationships/hyperlink" Target="https://www.afpa.asia/pdf/10thWCAP_March31.pdf" TargetMode="External"/><Relationship Id="rId189" Type="http://schemas.openxmlformats.org/officeDocument/2006/relationships/hyperlink" Target="https://www.nisseikyo.or.jp/news/topic/detail.php?@DB_ID@=602" TargetMode="External"/><Relationship Id="rId396" Type="http://schemas.openxmlformats.org/officeDocument/2006/relationships/hyperlink" Target="https://cdn.ymaws.com/www.psychotherapyresearch.org/resource/resmgr/imported/events/annualmeeting_progs/spr_meeting_program_2021.pdf" TargetMode="External"/><Relationship Id="rId561" Type="http://schemas.openxmlformats.org/officeDocument/2006/relationships/hyperlink" Target="https://www.c-linkage.co.jp/jspn119/doc/program_collection.pdf?2306061122" TargetMode="External"/><Relationship Id="rId214" Type="http://schemas.openxmlformats.org/officeDocument/2006/relationships/hyperlink" Target="https://med-gakkai.jp/naj47/pro/" TargetMode="External"/><Relationship Id="rId256" Type="http://schemas.openxmlformats.org/officeDocument/2006/relationships/hyperlink" Target="https://www.bap.org.uk/pdfs/BAP2024_Programme.pdf" TargetMode="External"/><Relationship Id="rId298" Type="http://schemas.openxmlformats.org/officeDocument/2006/relationships/hyperlink" Target="https://acnp.eventsair.com/national-conference-2022/2022-acnp-program" TargetMode="External"/><Relationship Id="rId421" Type="http://schemas.openxmlformats.org/officeDocument/2006/relationships/hyperlink" Target="https://aaic.alz.org/program/2023-scientific-sessions.asp" TargetMode="External"/><Relationship Id="rId463" Type="http://schemas.openxmlformats.org/officeDocument/2006/relationships/hyperlink" Target="https://img1.wsimg.com/blobby/go/2d74e754-926e-4a9b-9930-464ce35de946/downloads/CGNA2023_Program_18-04-2023.pdf?ver=1714519965634" TargetMode="External"/><Relationship Id="rId519" Type="http://schemas.openxmlformats.org/officeDocument/2006/relationships/hyperlink" Target="https://www.usa2summit.org/archives/2022/home-2022" TargetMode="External"/><Relationship Id="rId116" Type="http://schemas.openxmlformats.org/officeDocument/2006/relationships/hyperlink" Target="https://www.ecpp2024.com/conference-shedule/" TargetMode="External"/><Relationship Id="rId158" Type="http://schemas.openxmlformats.org/officeDocument/2006/relationships/hyperlink" Target="https://web.unica.it/unica/protected/409792/0/def/ref/AVS409791/" TargetMode="External"/><Relationship Id="rId323" Type="http://schemas.openxmlformats.org/officeDocument/2006/relationships/hyperlink" Target="https://www.psychiatry.org/File%20Library/Psychiatrists/Meetings/Annual-Meeting/2022/2022-APA-Exhibitor-Prospectus.pdf" TargetMode="External"/><Relationship Id="rId530" Type="http://schemas.openxmlformats.org/officeDocument/2006/relationships/hyperlink" Target="https://pmg.joynadmin.org/documents/1036/642af623c8c95a5d94196de2.pdf" TargetMode="External"/><Relationship Id="rId20" Type="http://schemas.openxmlformats.org/officeDocument/2006/relationships/hyperlink" Target="https://iarpp.ce-go.com/iarppsymposium2021/agenda" TargetMode="External"/><Relationship Id="rId62" Type="http://schemas.openxmlformats.org/officeDocument/2006/relationships/hyperlink" Target="https://schizophreniaresearchsociety.org/wp-content/uploads/2020/10/2021-SIRS-Prospectus-FINAL.pdf" TargetMode="External"/><Relationship Id="rId365" Type="http://schemas.openxmlformats.org/officeDocument/2006/relationships/hyperlink" Target="https://gaudillieredavoine.com/wp-content/uploads/2020/09/19-annual-meeting-program-schedule.pdf" TargetMode="External"/><Relationship Id="rId572" Type="http://schemas.openxmlformats.org/officeDocument/2006/relationships/hyperlink" Target="https://www.maudsley-prescribing-guidelines.co.uk/conference2025/" TargetMode="External"/><Relationship Id="rId225" Type="http://schemas.openxmlformats.org/officeDocument/2006/relationships/hyperlink" Target="https://confit.atlas.jp/guide/event/jsnpjscnp2024/tables" TargetMode="External"/><Relationship Id="rId267" Type="http://schemas.openxmlformats.org/officeDocument/2006/relationships/hyperlink" Target="https://www.rcpsych.ac.uk/events/congress/programme" TargetMode="External"/><Relationship Id="rId432" Type="http://schemas.openxmlformats.org/officeDocument/2006/relationships/hyperlink" Target="https://www.alzheimersresearchuk.org/research/for-researchers/research-conference/past-events/2022-conference/scientific-programme-2022/" TargetMode="External"/><Relationship Id="rId474" Type="http://schemas.openxmlformats.org/officeDocument/2006/relationships/hyperlink" Target="https://www.ostfalia.de/cms/de/g/.galleries/g_veranstaltungen_2020/202209_FFM_GGK_Programm2.pdf" TargetMode="External"/><Relationship Id="rId127" Type="http://schemas.openxmlformats.org/officeDocument/2006/relationships/hyperlink" Target="https://forum2020.fens.org/wp-content/uploads/sites/51/2020/07/913657_FENS2020_PROGRAMME-AT-A-GLANCE.pdf" TargetMode="External"/><Relationship Id="rId31" Type="http://schemas.openxmlformats.org/officeDocument/2006/relationships/hyperlink" Target="https://icpweb.org/icp-annual-conference/icp2020-virtualonline/" TargetMode="External"/><Relationship Id="rId73" Type="http://schemas.openxmlformats.org/officeDocument/2006/relationships/hyperlink" Target="https://pmg.joynadmin.org/documents/1064/665a753c9a5a51007270f212.pdf" TargetMode="External"/><Relationship Id="rId169" Type="http://schemas.openxmlformats.org/officeDocument/2006/relationships/hyperlink" Target="https://www.uni-hildesheim.de/dgps2022/wp-content/uploads/2022/09/52._DGPs-Kongress_2022_Programm_Stand20220915_kl.pdf" TargetMode="External"/><Relationship Id="rId334" Type="http://schemas.openxmlformats.org/officeDocument/2006/relationships/hyperlink" Target="https://apsa.org/wp-content/uploads/2023/07/AM112.pdf?ver" TargetMode="External"/><Relationship Id="rId376" Type="http://schemas.openxmlformats.org/officeDocument/2006/relationships/hyperlink" Target="https://www.psychonomic.org/page/2024program" TargetMode="External"/><Relationship Id="rId541" Type="http://schemas.openxmlformats.org/officeDocument/2006/relationships/hyperlink" Target="https://sinpf2024.it/programma.pdf" TargetMode="External"/><Relationship Id="rId4" Type="http://schemas.openxmlformats.org/officeDocument/2006/relationships/hyperlink" Target="https://discourseinpsychosis.org/wp-content/uploads/2024/05/Discourse-Meeting-Program-May-2023.pdf" TargetMode="External"/><Relationship Id="rId180" Type="http://schemas.openxmlformats.org/officeDocument/2006/relationships/hyperlink" Target="https://aipass.org/xvii-congresso-nazionale-della-sezione-di-psicologia-sociale-dellaip/" TargetMode="External"/><Relationship Id="rId236" Type="http://schemas.openxmlformats.org/officeDocument/2006/relationships/hyperlink" Target="https://consaludmental.org/multimedia/xxi-congreso-salud-mental/" TargetMode="External"/><Relationship Id="rId278" Type="http://schemas.openxmlformats.org/officeDocument/2006/relationships/hyperlink" Target="https://aacap-old.confex.com/aacap/2020/meetingapp.cgi/Day/2020-10-19" TargetMode="External"/><Relationship Id="rId401" Type="http://schemas.openxmlformats.org/officeDocument/2006/relationships/hyperlink" Target="https://www.emedevents.com/online-cme-courses/live-webinar/2021-society-of-consulting-psychology-scp-annual-conference" TargetMode="External"/><Relationship Id="rId443" Type="http://schemas.openxmlformats.org/officeDocument/2006/relationships/hyperlink" Target="https://site2.convention.co.jp/63jgs/program/" TargetMode="External"/><Relationship Id="rId303" Type="http://schemas.openxmlformats.org/officeDocument/2006/relationships/hyperlink" Target="https://www.agpa.org/home/continuing-ed-meetings-events-training/agpa-connect-2022" TargetMode="External"/><Relationship Id="rId485" Type="http://schemas.openxmlformats.org/officeDocument/2006/relationships/hyperlink" Target="https://advenias.it/wp-content/uploads/2020/02/2-Convegno-Nazionale-Giovani-AIP.pdf" TargetMode="External"/><Relationship Id="rId42" Type="http://schemas.openxmlformats.org/officeDocument/2006/relationships/hyperlink" Target="https://the-ins.org/files/meetings/sandiego2021/program_book/sandiego2021-program_book.pdf" TargetMode="External"/><Relationship Id="rId84" Type="http://schemas.openxmlformats.org/officeDocument/2006/relationships/hyperlink" Target="https://contextualscience.org/sites/default/files/In-Person%20Final%20Program%205.25_0.pdf" TargetMode="External"/><Relationship Id="rId138" Type="http://schemas.openxmlformats.org/officeDocument/2006/relationships/hyperlink" Target="https://can-acn.org/meeting-2024/program/" TargetMode="External"/><Relationship Id="rId345" Type="http://schemas.openxmlformats.org/officeDocument/2006/relationships/hyperlink" Target="https://irp.cdn-website.com/a5ea5d51/files/uploaded/APA_2020_Program.pdf" TargetMode="External"/><Relationship Id="rId387" Type="http://schemas.openxmlformats.org/officeDocument/2006/relationships/hyperlink" Target="https://spsp.org/sites/default/files/2023-04/SPSP-2020-Convention-Print-Program.pdf" TargetMode="External"/><Relationship Id="rId510" Type="http://schemas.openxmlformats.org/officeDocument/2006/relationships/hyperlink" Target="https://gero.usc.edu/event/gsa-2021-annual-scientific-meeting/" TargetMode="External"/><Relationship Id="rId552" Type="http://schemas.openxmlformats.org/officeDocument/2006/relationships/hyperlink" Target="https://www.worlddementiacouncil.org/programme/2024-WDC-Summit-programme.pdf" TargetMode="External"/><Relationship Id="rId191" Type="http://schemas.openxmlformats.org/officeDocument/2006/relationships/hyperlink" Target="https://cs-oto3.com/jabct2024/program.html" TargetMode="External"/><Relationship Id="rId205" Type="http://schemas.openxmlformats.org/officeDocument/2006/relationships/hyperlink" Target="https://www.neurology-jp.org/neuro2021/en/program/download.html" TargetMode="External"/><Relationship Id="rId247" Type="http://schemas.openxmlformats.org/officeDocument/2006/relationships/hyperlink" Target="https://reunion2022.sen.es/lxxiv" TargetMode="External"/><Relationship Id="rId412" Type="http://schemas.openxmlformats.org/officeDocument/2006/relationships/hyperlink" Target="https://www.ctad-alzheimer.com/files/files/DIGITALprogram_CTAD2020_2nov.pdf" TargetMode="External"/><Relationship Id="rId107" Type="http://schemas.openxmlformats.org/officeDocument/2006/relationships/hyperlink" Target="https://www.ecnp.eu/about-ecnp/history/past-ecnp-meetings/past-congresses/virtual-2020/Programme" TargetMode="External"/><Relationship Id="rId289" Type="http://schemas.openxmlformats.org/officeDocument/2006/relationships/hyperlink" Target="https://aagponline.org/education-events/annual-meeting/" TargetMode="External"/><Relationship Id="rId454" Type="http://schemas.openxmlformats.org/officeDocument/2006/relationships/hyperlink" Target="https://www.britishgerontology.org/events-and-courses/past-conferences/2020-online-conference" TargetMode="External"/><Relationship Id="rId496" Type="http://schemas.openxmlformats.org/officeDocument/2006/relationships/hyperlink" Target="https://geriatria2024.com/images/site/QR_ProgramaSEGG_2024.pdf" TargetMode="External"/><Relationship Id="rId11" Type="http://schemas.openxmlformats.org/officeDocument/2006/relationships/hyperlink" Target="https://cbpfebrap.febrap.org.br/palestrantes-convidados/" TargetMode="External"/><Relationship Id="rId53" Type="http://schemas.openxmlformats.org/officeDocument/2006/relationships/hyperlink" Target="https://static.emedevents.com/uploads/conferences/session_brochure/846c77c5e5648cc16f1bd3208f8fe75d.pdf" TargetMode="External"/><Relationship Id="rId149" Type="http://schemas.openxmlformats.org/officeDocument/2006/relationships/hyperlink" Target="https://cpa.ca/docs/File/Convention/2022/CPA%20Convention%20Guide%202022_FINAL.pdf" TargetMode="External"/><Relationship Id="rId314" Type="http://schemas.openxmlformats.org/officeDocument/2006/relationships/hyperlink" Target="https://myana.org/sites/ana/files/images/2021%20Final%20Program.pdf" TargetMode="External"/><Relationship Id="rId356" Type="http://schemas.openxmlformats.org/officeDocument/2006/relationships/hyperlink" Target="https://abpsi.site-ym.com/events/Sessions.aspx?id=1659401" TargetMode="External"/><Relationship Id="rId398" Type="http://schemas.openxmlformats.org/officeDocument/2006/relationships/hyperlink" Target="https://www.societyofconsultingpsychology.org/2024-agenda/" TargetMode="External"/><Relationship Id="rId521" Type="http://schemas.openxmlformats.org/officeDocument/2006/relationships/hyperlink" Target="https://www.usa2summit.org/archives/2020/home-2020" TargetMode="External"/><Relationship Id="rId563" Type="http://schemas.openxmlformats.org/officeDocument/2006/relationships/hyperlink" Target="https://www.c-linkage.co.jp/jspn116/pdf/program_all.pdf" TargetMode="External"/><Relationship Id="rId95" Type="http://schemas.openxmlformats.org/officeDocument/2006/relationships/hyperlink" Target="https://www.afpa.asia/pdf/8th_WCAP_2021.pdf" TargetMode="External"/><Relationship Id="rId160" Type="http://schemas.openxmlformats.org/officeDocument/2006/relationships/hyperlink" Target="https://psichiatria.it/evento/49-congresso-nazionale-sip/" TargetMode="External"/><Relationship Id="rId216" Type="http://schemas.openxmlformats.org/officeDocument/2006/relationships/hyperlink" Target="http://naj45.umin.jp/program.html" TargetMode="External"/><Relationship Id="rId423" Type="http://schemas.openxmlformats.org/officeDocument/2006/relationships/hyperlink" Target="https://aaic.alz.org/highlights2021.asp" TargetMode="External"/><Relationship Id="rId258" Type="http://schemas.openxmlformats.org/officeDocument/2006/relationships/hyperlink" Target="https://www.bap.org.uk/pdfs/2022_Summer_Meeting_Programme.pdf" TargetMode="External"/><Relationship Id="rId465" Type="http://schemas.openxmlformats.org/officeDocument/2006/relationships/hyperlink" Target="https://sfgg2023.process.y-congress.com/ScientificProcess/schedule/?setLng=en" TargetMode="External"/><Relationship Id="rId22" Type="http://schemas.openxmlformats.org/officeDocument/2006/relationships/hyperlink" Target="https://myemail-api.constantcontact.com/Welcome-to-the--9th-World-Congress-on-Women-s-Mental-Health.html?soid=1102782902506&amp;aid=V6D0CgmQnV0" TargetMode="External"/><Relationship Id="rId64" Type="http://schemas.openxmlformats.org/officeDocument/2006/relationships/hyperlink" Target="https://www.iconsofscarf.org/conference-program.html" TargetMode="External"/><Relationship Id="rId118" Type="http://schemas.openxmlformats.org/officeDocument/2006/relationships/hyperlink" Target="https://2024.epa-congress.org/programme/scientific-programme/" TargetMode="External"/><Relationship Id="rId325" Type="http://schemas.openxmlformats.org/officeDocument/2006/relationships/hyperlink" Target="https://www.psychnews.org/pdfs/apa_annual_meeting_preliminary_program_2020.pdf" TargetMode="External"/><Relationship Id="rId367" Type="http://schemas.openxmlformats.org/officeDocument/2006/relationships/hyperlink" Target="https://mhanational.org/blog/day-1-2023-mental-health-america-conference-recap" TargetMode="External"/><Relationship Id="rId532" Type="http://schemas.openxmlformats.org/officeDocument/2006/relationships/hyperlink" Target="https://www.biologicalpsychiatryjournal.com/article/S0006-3223(21)01107-0/abstract" TargetMode="External"/><Relationship Id="rId171" Type="http://schemas.openxmlformats.org/officeDocument/2006/relationships/hyperlink" Target="https://www.dgnvirtualmeeting.org/dgn/dgn2023/de-DE/search" TargetMode="External"/><Relationship Id="rId227" Type="http://schemas.openxmlformats.org/officeDocument/2006/relationships/hyperlink" Target="https://brainminds.jp/en/public_event/post15284/" TargetMode="External"/><Relationship Id="rId269" Type="http://schemas.openxmlformats.org/officeDocument/2006/relationships/hyperlink" Target="https://www.rcpsych.ac.uk/docs/default-source/events/congress/2022/ic22-full-programme-v1.pdf?sfvrsn=983a1fd8_22" TargetMode="External"/><Relationship Id="rId434" Type="http://schemas.openxmlformats.org/officeDocument/2006/relationships/hyperlink" Target="https://iagg2022.org/wp-content/uploads/2022/01/AGENDA-EN-PDF-v10.pdf" TargetMode="External"/><Relationship Id="rId476" Type="http://schemas.openxmlformats.org/officeDocument/2006/relationships/hyperlink" Target="https://psicogeriatria.it/congresso-nazionale-aip-2024/" TargetMode="External"/><Relationship Id="rId33" Type="http://schemas.openxmlformats.org/officeDocument/2006/relationships/hyperlink" Target="https://www.iepaconference.org/iepa12/program-at-a-glance/" TargetMode="External"/><Relationship Id="rId129" Type="http://schemas.openxmlformats.org/officeDocument/2006/relationships/hyperlink" Target="https://www.cacap-acpea.org/wp-content/uploads/CACAP2024_Conference-Program_v6.pdf" TargetMode="External"/><Relationship Id="rId280" Type="http://schemas.openxmlformats.org/officeDocument/2006/relationships/hyperlink" Target="https://www.tandfonline.com/doi/abs/10.1080/13854046.2023.2190539" TargetMode="External"/><Relationship Id="rId336" Type="http://schemas.openxmlformats.org/officeDocument/2006/relationships/hyperlink" Target="https://apsa.org/wp-content/uploads/2023/07/AM111.pdf?ver" TargetMode="External"/><Relationship Id="rId501" Type="http://schemas.openxmlformats.org/officeDocument/2006/relationships/hyperlink" Target="https://seegg.es/wp-content/uploads/2022/03/SEEGG-2022-Programa-v7-1.pdf" TargetMode="External"/><Relationship Id="rId543" Type="http://schemas.openxmlformats.org/officeDocument/2006/relationships/hyperlink" Target="https://www.sigo.it/wp-content/uploads/2022/01/23%C2%B0SINPF_congresso_virtuale_2022.pdf" TargetMode="External"/><Relationship Id="rId75" Type="http://schemas.openxmlformats.org/officeDocument/2006/relationships/hyperlink" Target="https://cslide.ctimeetingtech.com/wcp24/attendee" TargetMode="External"/><Relationship Id="rId140" Type="http://schemas.openxmlformats.org/officeDocument/2006/relationships/hyperlink" Target="https://can-acn.org/meeting-2022/program-2022/" TargetMode="External"/><Relationship Id="rId182" Type="http://schemas.openxmlformats.org/officeDocument/2006/relationships/hyperlink" Target="https://sinpia.eu/wp-content/uploads/2022/09/SINPIA-2021-PROGRAMMA.pdf" TargetMode="External"/><Relationship Id="rId378" Type="http://schemas.openxmlformats.org/officeDocument/2006/relationships/hyperlink" Target="https://www.psychonomic.org/page/2022annualmeeting" TargetMode="External"/><Relationship Id="rId403" Type="http://schemas.openxmlformats.org/officeDocument/2006/relationships/hyperlink" Target="https://www.ipa-online.org/events/2023/program" TargetMode="External"/><Relationship Id="rId6" Type="http://schemas.openxmlformats.org/officeDocument/2006/relationships/hyperlink" Target="https://eaipathens.eu/wordpress/wp-content/uploads/Programme_final.pdf" TargetMode="External"/><Relationship Id="rId238" Type="http://schemas.openxmlformats.org/officeDocument/2006/relationships/hyperlink" Target="https://www.feap.es/images/feap/documentos/Formacion/SEPYPNA%20Programa%20Congreso%202023.pdf" TargetMode="External"/><Relationship Id="rId445" Type="http://schemas.openxmlformats.org/officeDocument/2006/relationships/hyperlink" Target="https://www.rounenkango.com/shuukai/29kai/pro.html" TargetMode="External"/><Relationship Id="rId487" Type="http://schemas.openxmlformats.org/officeDocument/2006/relationships/hyperlink" Target="https://www.fitoproject.it/wp-content/uploads/2022/12/napoli-14-16-dicembre-2022.pdf" TargetMode="External"/><Relationship Id="rId291" Type="http://schemas.openxmlformats.org/officeDocument/2006/relationships/hyperlink" Target="https://www.emedevents.com/c/medical-conferences-2022/american-association-for-geriatric-psychiatry-aagp-annual-meeting-2022" TargetMode="External"/><Relationship Id="rId305" Type="http://schemas.openxmlformats.org/officeDocument/2006/relationships/hyperlink" Target="https://www.agpa.org/home/continuing-ed-meetings-events-training/agpa-connect-2020" TargetMode="External"/><Relationship Id="rId347" Type="http://schemas.openxmlformats.org/officeDocument/2006/relationships/hyperlink" Target="https://abct2023.eventscribe.net/agenda.asp?pfp=days&amp;day=11/16/2023&amp;theday=Thursday&amp;h=Thursday%20November%2016&amp;BCFO=P|G" TargetMode="External"/><Relationship Id="rId512" Type="http://schemas.openxmlformats.org/officeDocument/2006/relationships/hyperlink" Target="https://ajj.swoogo.com/gapna24/5696283" TargetMode="External"/><Relationship Id="rId44" Type="http://schemas.openxmlformats.org/officeDocument/2006/relationships/hyperlink" Target="https://the-ins.org/wp-content/uploads/2024/07/denver_2020_program_book_online.pdf" TargetMode="External"/><Relationship Id="rId86" Type="http://schemas.openxmlformats.org/officeDocument/2006/relationships/hyperlink" Target="https://contextualscience.org/sites/default/files/WC%20online%20Formatted%20Brief%20Schedule%20with%20networking.pdf" TargetMode="External"/><Relationship Id="rId151" Type="http://schemas.openxmlformats.org/officeDocument/2006/relationships/hyperlink" Target="https://fedepsychiatrie.fr/wp-content/uploads/2023/04/Fedepsy-Programme-Bulletin-25mai2023-V11.pdf" TargetMode="External"/><Relationship Id="rId389" Type="http://schemas.openxmlformats.org/officeDocument/2006/relationships/hyperlink" Target="https://cdn.ymaws.com/www.psychotherapyresearch.org/resource/resmgr/eu-spr/events/brno2024/EU_UK-SPR2024_Program.pdf" TargetMode="External"/><Relationship Id="rId554" Type="http://schemas.openxmlformats.org/officeDocument/2006/relationships/hyperlink" Target="https://www.worlddementiacouncil.org/sites/default/files/2022-03/Programme%20-%20WDC%20Summit%202022_4.pdf" TargetMode="External"/><Relationship Id="rId193" Type="http://schemas.openxmlformats.org/officeDocument/2006/relationships/hyperlink" Target="https://cs-oto3.com/jabct2022/program.html" TargetMode="External"/><Relationship Id="rId207" Type="http://schemas.openxmlformats.org/officeDocument/2006/relationships/hyperlink" Target="https://med-gakkai.jp/jssr18/pro/" TargetMode="External"/><Relationship Id="rId249" Type="http://schemas.openxmlformats.org/officeDocument/2006/relationships/hyperlink" Target="https://www.senc.es/wp-content/uploads/2024/06/Programa_V13_13-05-2024.pdf" TargetMode="External"/><Relationship Id="rId414" Type="http://schemas.openxmlformats.org/officeDocument/2006/relationships/hyperlink" Target="https://eugms2023.com/wp-content/uploads/2023/09/EuGMS-2023-TIMETABLE-19.09.pdf" TargetMode="External"/><Relationship Id="rId456" Type="http://schemas.openxmlformats.org/officeDocument/2006/relationships/hyperlink" Target="https://www.bgs.org.uk/sites/default/files/content/events/files/2023_Autumn_Prog_34.pdf" TargetMode="External"/><Relationship Id="rId498" Type="http://schemas.openxmlformats.org/officeDocument/2006/relationships/hyperlink" Target="https://www.geriatria2022.com/images/site/Programa_SEGG.pdf" TargetMode="External"/><Relationship Id="rId13" Type="http://schemas.openxmlformats.org/officeDocument/2006/relationships/hyperlink" Target="https://www.iagp.com/conferences/" TargetMode="External"/><Relationship Id="rId109" Type="http://schemas.openxmlformats.org/officeDocument/2006/relationships/hyperlink" Target="https://ecp2023.eu/wp-content/uploads/2023/07/ECP-2023-Scientific-Programme-v15.pdf" TargetMode="External"/><Relationship Id="rId260" Type="http://schemas.openxmlformats.org/officeDocument/2006/relationships/hyperlink" Target="https://bnpa.org.uk/wp-content/uploads/2024/02/BNPA-2024-Programme-FINAL.pdf" TargetMode="External"/><Relationship Id="rId316" Type="http://schemas.openxmlformats.org/officeDocument/2006/relationships/hyperlink" Target="https://anpaonline.org/event-5421221" TargetMode="External"/><Relationship Id="rId523" Type="http://schemas.openxmlformats.org/officeDocument/2006/relationships/hyperlink" Target="https://chapters-igs.rnao.ca/sites/default/files/2020-05/CGNA2021_Prospectus.pdf" TargetMode="External"/><Relationship Id="rId55" Type="http://schemas.openxmlformats.org/officeDocument/2006/relationships/hyperlink" Target="https://www.ispn-psych.org/assets/2023_Conference/2023%20Final%20Program%20v9.pdf" TargetMode="External"/><Relationship Id="rId97" Type="http://schemas.openxmlformats.org/officeDocument/2006/relationships/hyperlink" Target="https://www.ean.org/congress2021" TargetMode="External"/><Relationship Id="rId120" Type="http://schemas.openxmlformats.org/officeDocument/2006/relationships/hyperlink" Target="https://cslide.ctimeetingtech.com/epa22/attendee/confcal/session/calendar/2022-06-03" TargetMode="External"/><Relationship Id="rId358" Type="http://schemas.openxmlformats.org/officeDocument/2006/relationships/hyperlink" Target="https://cdn.ymaws.com/abpsi.site-ym.com/resource/resmgr/convention_meetings_/2021_convention/2021_sponsorship_guide_1.pdf" TargetMode="External"/><Relationship Id="rId565" Type="http://schemas.openxmlformats.org/officeDocument/2006/relationships/hyperlink" Target="https://www.ibnsconnect.org/ibns-2024-program" TargetMode="External"/><Relationship Id="rId162" Type="http://schemas.openxmlformats.org/officeDocument/2006/relationships/hyperlink" Target="https://sipforense.it/wp-content/uploads/2024/02/Programma-SIPF-2020.pdf" TargetMode="External"/><Relationship Id="rId218" Type="http://schemas.openxmlformats.org/officeDocument/2006/relationships/hyperlink" Target="https://www.kwcs.jp/jna29/" TargetMode="External"/><Relationship Id="rId425" Type="http://schemas.openxmlformats.org/officeDocument/2006/relationships/hyperlink" Target="https://www.alzheimer-europe.org/conferences/2024-geneva/detailed-programme" TargetMode="External"/><Relationship Id="rId467" Type="http://schemas.openxmlformats.org/officeDocument/2006/relationships/hyperlink" Target="https://sfgg2021.process.y-congress.com/ScientificProcess/schedule/?setLng=en" TargetMode="External"/><Relationship Id="rId271" Type="http://schemas.openxmlformats.org/officeDocument/2006/relationships/hyperlink" Target="https://www.rcpsych.ac.uk/docs/default-source/events/congress/programme-overview-v3.pdf?sfvrsn=b08b8f1d_0" TargetMode="External"/><Relationship Id="rId24" Type="http://schemas.openxmlformats.org/officeDocument/2006/relationships/hyperlink" Target="https://www.fens.org/news-activities/fens-and-societies-calendar/meeting-event/international-behavioral-neuroscience-society-ibns" TargetMode="External"/><Relationship Id="rId66" Type="http://schemas.openxmlformats.org/officeDocument/2006/relationships/hyperlink" Target="https://www.iconsofscarf.org/2021iconsofscarf.html" TargetMode="External"/><Relationship Id="rId131" Type="http://schemas.openxmlformats.org/officeDocument/2006/relationships/hyperlink" Target="https://iacapap.org/news/41st-annual-cacap-conference.html" TargetMode="External"/><Relationship Id="rId327" Type="http://schemas.openxmlformats.org/officeDocument/2006/relationships/hyperlink" Target="https://bhwell.uky.edu/events/apna-37th-annual-conference" TargetMode="External"/><Relationship Id="rId369" Type="http://schemas.openxmlformats.org/officeDocument/2006/relationships/hyperlink" Target="https://www.cugmhp.org/events/mental-health-america-2021-annual-conference/" TargetMode="External"/><Relationship Id="rId534" Type="http://schemas.openxmlformats.org/officeDocument/2006/relationships/hyperlink" Target="https://www.dgbp.de/wp-content/uploads/2024/04/Programmheft-Kongress-DGBP-u.-AGNP-2024_final-1.pdf" TargetMode="External"/><Relationship Id="rId173" Type="http://schemas.openxmlformats.org/officeDocument/2006/relationships/hyperlink" Target="https://www.journalmed.de/veranstaltungen/details/94_dgn_kongress_2021" TargetMode="External"/><Relationship Id="rId229" Type="http://schemas.openxmlformats.org/officeDocument/2006/relationships/hyperlink" Target="https://www.neuropsicologiaaragon.org/post/xiii-congreso-neuropsicolog%C3%ADa-fanpse" TargetMode="External"/><Relationship Id="rId380" Type="http://schemas.openxmlformats.org/officeDocument/2006/relationships/hyperlink" Target="https://www.psychonomic.org/page/2020program" TargetMode="External"/><Relationship Id="rId436" Type="http://schemas.openxmlformats.org/officeDocument/2006/relationships/hyperlink" Target="https://www.cag2023.ca/_files/ugd/efbed2_85512f2355ae4172aade4c226df30c1c.pdf" TargetMode="External"/><Relationship Id="rId240" Type="http://schemas.openxmlformats.org/officeDocument/2006/relationships/hyperlink" Target="https://www.sepypna.com/documentos/2021-XXXII-Congreso-Online.pdf" TargetMode="External"/><Relationship Id="rId478" Type="http://schemas.openxmlformats.org/officeDocument/2006/relationships/hyperlink" Target="http://2022.aipcongresso.it/medias/172-22-congresso-nazionale-aipprogramma.pdf" TargetMode="External"/><Relationship Id="rId35" Type="http://schemas.openxmlformats.org/officeDocument/2006/relationships/hyperlink" Target="https://inawebsite.org/faculty-of-neuropsychiatry-annual-conference-2022/" TargetMode="External"/><Relationship Id="rId77" Type="http://schemas.openxmlformats.org/officeDocument/2006/relationships/hyperlink" Target="https://cslide.ctimeetingtech.com/wcp22/attendee/confcal/session/calendar?r=d%7E1_2_3_4" TargetMode="External"/><Relationship Id="rId100" Type="http://schemas.openxmlformats.org/officeDocument/2006/relationships/hyperlink" Target="https://www.eaclipt.org/post/eaclipt2024-deadline-extended" TargetMode="External"/><Relationship Id="rId282" Type="http://schemas.openxmlformats.org/officeDocument/2006/relationships/hyperlink" Target="https://www.tandfonline.com/doi/full/10.1080/13854046.2021.1900401?src=" TargetMode="External"/><Relationship Id="rId338" Type="http://schemas.openxmlformats.org/officeDocument/2006/relationships/hyperlink" Target="https://apsa.org/wp-content/uploads/2023/07/AM110.pdf?ver" TargetMode="External"/><Relationship Id="rId503" Type="http://schemas.openxmlformats.org/officeDocument/2006/relationships/hyperlink" Target="https://meeting.americangeriatrics.org/program/schedule-glance" TargetMode="External"/><Relationship Id="rId545" Type="http://schemas.openxmlformats.org/officeDocument/2006/relationships/hyperlink" Target="https://sinpf.it/wp-content/uploads/2020/01/Programma-SINPF-2020-Ultimo.pdf" TargetMode="External"/><Relationship Id="rId8" Type="http://schemas.openxmlformats.org/officeDocument/2006/relationships/hyperlink" Target="https://www.iacapap2022.com/program" TargetMode="External"/><Relationship Id="rId142" Type="http://schemas.openxmlformats.org/officeDocument/2006/relationships/hyperlink" Target="https://2024cnsfcongress.eventscribe.net/SearchByBucket.asp?f=CustomPresfield4&amp;bm=Scientific%20Session&amp;pfp=BrowsebyBucket" TargetMode="External"/><Relationship Id="rId184" Type="http://schemas.openxmlformats.org/officeDocument/2006/relationships/hyperlink" Target="https://www.neuro.it/web/procedure/dati_congresso.cfm?List=WsId&amp;c1=12681" TargetMode="External"/><Relationship Id="rId391" Type="http://schemas.openxmlformats.org/officeDocument/2006/relationships/hyperlink" Target="https://cdn.ymaws.com/www.psychotherapyresearch.org/resource/resmgr/imported/events/annualmeeting_progs/spr_meeting_program_2023.pdf" TargetMode="External"/><Relationship Id="rId405" Type="http://schemas.openxmlformats.org/officeDocument/2006/relationships/hyperlink" Target="https://www.ipa-online.org/events/annual-congress/past-ipa-congresses" TargetMode="External"/><Relationship Id="rId447" Type="http://schemas.openxmlformats.org/officeDocument/2006/relationships/hyperlink" Target="https://www.rounenkango.com/shuukai/27kai/pro.htm" TargetMode="External"/><Relationship Id="rId251" Type="http://schemas.openxmlformats.org/officeDocument/2006/relationships/hyperlink" Target="https://congresonacionaldepsiquiatria.es/pdf/CNP-2024-Programa.pdf" TargetMode="External"/><Relationship Id="rId489" Type="http://schemas.openxmlformats.org/officeDocument/2006/relationships/hyperlink" Target="https://www.sigg.it/wp-content/uploads/2023/12/SIGG-2023_Programma-Definitivo_SITO.pdf" TargetMode="External"/><Relationship Id="rId46" Type="http://schemas.openxmlformats.org/officeDocument/2006/relationships/hyperlink" Target="https://www.ipa.world/IPA/en/news_and_events/Congress_programme.aspx" TargetMode="External"/><Relationship Id="rId293" Type="http://schemas.openxmlformats.org/officeDocument/2006/relationships/hyperlink" Target="https://connect.aagponline.org/events/event-description?CalendarEventKey=1de6bdb4-4539-4585-90c6-7c8c367394d0" TargetMode="External"/><Relationship Id="rId307" Type="http://schemas.openxmlformats.org/officeDocument/2006/relationships/hyperlink" Target="https://www.amhca.org/events/eventdescription?CalendarEventKey=d09bd4d7-0f80-43d0-916f-6284f451a8b5&amp;Home=%2Fabout%2Fnews" TargetMode="External"/><Relationship Id="rId349" Type="http://schemas.openxmlformats.org/officeDocument/2006/relationships/hyperlink" Target="https://www.abct.org/2021-convention/" TargetMode="External"/><Relationship Id="rId514" Type="http://schemas.openxmlformats.org/officeDocument/2006/relationships/hyperlink" Target="https://www.gapna.org/sites/default/files/documents/conference/2022/2022_annual_brochure.pdf" TargetMode="External"/><Relationship Id="rId556" Type="http://schemas.openxmlformats.org/officeDocument/2006/relationships/hyperlink" Target="https://alzheimers.magnusconferences.com/speakers/2023" TargetMode="External"/><Relationship Id="rId88" Type="http://schemas.openxmlformats.org/officeDocument/2006/relationships/hyperlink" Target="https://www.ibnsconnect.org/ibns-2022-annual-meeting-glasgow--scotland" TargetMode="External"/><Relationship Id="rId111" Type="http://schemas.openxmlformats.org/officeDocument/2006/relationships/hyperlink" Target="https://2024.ehps.net/wp-content/uploads/2024/08/ehps24_final_program_02_august.pdf" TargetMode="External"/><Relationship Id="rId153" Type="http://schemas.openxmlformats.org/officeDocument/2006/relationships/hyperlink" Target="https://fedepsychiatrie.fr/wp-content/uploads/2021/02/Programme3e%CC%80mejourne%CC%81ePsyAdulte2021V9-2.pdf" TargetMode="External"/><Relationship Id="rId195" Type="http://schemas.openxmlformats.org/officeDocument/2006/relationships/hyperlink" Target="https://www.cs-oto.com/jabct2020/index.html" TargetMode="External"/><Relationship Id="rId209" Type="http://schemas.openxmlformats.org/officeDocument/2006/relationships/hyperlink" Target="https://jssr16.camphor.jp/outline/" TargetMode="External"/><Relationship Id="rId360" Type="http://schemas.openxmlformats.org/officeDocument/2006/relationships/hyperlink" Target="https://www.fndsociety.org/biennial-meeting/2022/programme" TargetMode="External"/><Relationship Id="rId416" Type="http://schemas.openxmlformats.org/officeDocument/2006/relationships/hyperlink" Target="https://www.eugms.org/2021.html" TargetMode="External"/><Relationship Id="rId220" Type="http://schemas.openxmlformats.org/officeDocument/2006/relationships/hyperlink" Target="https://jna27.secand.net/img/program.pdf" TargetMode="External"/><Relationship Id="rId458" Type="http://schemas.openxmlformats.org/officeDocument/2006/relationships/hyperlink" Target="https://www.bgs.org.uk/sites/default/files/content/events/files/2020_Aut_Overview_Virtual_7.pdf" TargetMode="External"/><Relationship Id="rId15" Type="http://schemas.openxmlformats.org/officeDocument/2006/relationships/hyperlink" Target="https://iapsp.org/wp-content/uploads/2023/10/IAPSP-Annual-Conference-Chicago-2023.pdf" TargetMode="External"/><Relationship Id="rId57" Type="http://schemas.openxmlformats.org/officeDocument/2006/relationships/hyperlink" Target="https://www.ispn-psych.org/assets/2021_Conference/ISPN_2021_Final_Program_I.pdf" TargetMode="External"/><Relationship Id="rId262" Type="http://schemas.openxmlformats.org/officeDocument/2006/relationships/hyperlink" Target="https://bnpa.org.uk/wp-content/uploads/2022/05/BOOK-2022.pdf" TargetMode="External"/><Relationship Id="rId318" Type="http://schemas.openxmlformats.org/officeDocument/2006/relationships/hyperlink" Target="https://anpaonline.org/event-4514384" TargetMode="External"/><Relationship Id="rId525" Type="http://schemas.openxmlformats.org/officeDocument/2006/relationships/hyperlink" Target="https://psicogeriatria.it/xvii-brain-aging/" TargetMode="External"/><Relationship Id="rId567" Type="http://schemas.openxmlformats.org/officeDocument/2006/relationships/hyperlink" Target="https://ean-apps.m-anage.com/ean2023/en-GB/PAG" TargetMode="External"/><Relationship Id="rId99" Type="http://schemas.openxmlformats.org/officeDocument/2006/relationships/hyperlink" Target="https://www.centreforurbanmentalhealth.com/umh-eaclipt-conference-2024" TargetMode="External"/><Relationship Id="rId122" Type="http://schemas.openxmlformats.org/officeDocument/2006/relationships/hyperlink" Target="https://www.europsy.net/app/uploads/2021/01/2020-List-of-ECP-Sessions.pdf" TargetMode="External"/><Relationship Id="rId164" Type="http://schemas.openxmlformats.org/officeDocument/2006/relationships/hyperlink" Target="https://www.escap.eu/events/escap-2023-congress-in-copenhagen" TargetMode="External"/><Relationship Id="rId371" Type="http://schemas.openxmlformats.org/officeDocument/2006/relationships/hyperlink" Target="https://s2.goeshow.com/nan/annual/2024/documents/NAN2024_SAG.pdf" TargetMode="External"/><Relationship Id="rId427" Type="http://schemas.openxmlformats.org/officeDocument/2006/relationships/hyperlink" Target="https://www.alzheimer-europe.org/conferences/past-conferences/2022-bucharest/programme-and-abstracts" TargetMode="External"/><Relationship Id="rId469" Type="http://schemas.openxmlformats.org/officeDocument/2006/relationships/hyperlink" Target="https://sf3pa-congres.com/wp-content/uploads/2024/05/WEB_EXE_20240530_programme_A5_page.pdf" TargetMode="External"/><Relationship Id="rId26" Type="http://schemas.openxmlformats.org/officeDocument/2006/relationships/hyperlink" Target="https://www.youtube.com/watch?v=NlcnKt--e-Q" TargetMode="External"/><Relationship Id="rId231" Type="http://schemas.openxmlformats.org/officeDocument/2006/relationships/hyperlink" Target="https://aepnya.es/wp-content/uploads/2024/05/PROGRAMA-formato-cerrado-a5_67-AEPNYA-1.pdf" TargetMode="External"/><Relationship Id="rId273" Type="http://schemas.openxmlformats.org/officeDocument/2006/relationships/hyperlink" Target="https://www.acadpsychclinicalscience.org/cmss_files/attachmentlibrary/2020_APCS_MembershipMeetingMinutes-13-.pdf" TargetMode="External"/><Relationship Id="rId329" Type="http://schemas.openxmlformats.org/officeDocument/2006/relationships/hyperlink" Target="https://bhwell.uky.edu/events/apna-35th-annual-conference" TargetMode="External"/><Relationship Id="rId480" Type="http://schemas.openxmlformats.org/officeDocument/2006/relationships/hyperlink" Target="https://2020.aipcongresso.it/medias/135-20-congresso-nazionale-aip-virtualeprogramma.pdf" TargetMode="External"/><Relationship Id="rId536" Type="http://schemas.openxmlformats.org/officeDocument/2006/relationships/hyperlink" Target="https://www.sipb.it/struttura/Programma%20FINALE_SIPB_Napoli_2023.pdf" TargetMode="External"/><Relationship Id="rId68" Type="http://schemas.openxmlformats.org/officeDocument/2006/relationships/hyperlink" Target="https://www.pce2022.com/wp-content/uploads/PCE2022-Conference-Book-220629C-opti.pdf" TargetMode="External"/><Relationship Id="rId133" Type="http://schemas.openxmlformats.org/officeDocument/2006/relationships/hyperlink" Target="https://www.cagp.ca/2024-Program" TargetMode="External"/><Relationship Id="rId175" Type="http://schemas.openxmlformats.org/officeDocument/2006/relationships/hyperlink" Target="https://www.claudiabartocci.it/blog/2024/04/17/isps-italia-vii-convegno-nazionale/" TargetMode="External"/><Relationship Id="rId340" Type="http://schemas.openxmlformats.org/officeDocument/2006/relationships/hyperlink" Target="https://apsa.org/wp-content/uploads/2023/07/AM109.pdf?ver" TargetMode="External"/><Relationship Id="rId200" Type="http://schemas.openxmlformats.org/officeDocument/2006/relationships/hyperlink" Target="https://www2.aeplan.co.jp/bpnp2021/program.html" TargetMode="External"/><Relationship Id="rId382" Type="http://schemas.openxmlformats.org/officeDocument/2006/relationships/hyperlink" Target="https://apadiv1.org/news-events/conferences/" TargetMode="External"/><Relationship Id="rId438" Type="http://schemas.openxmlformats.org/officeDocument/2006/relationships/hyperlink" Target="https://rehab.queensu.ca/blog/canadian-association-gerontology-conference-2021" TargetMode="External"/><Relationship Id="rId242" Type="http://schemas.openxmlformats.org/officeDocument/2006/relationships/hyperlink" Target="https://congresoanpir.org/wp-content/uploads/AF_programacion_congresocadiz_sepc_converted-1.pdf" TargetMode="External"/><Relationship Id="rId284" Type="http://schemas.openxmlformats.org/officeDocument/2006/relationships/hyperlink" Target="https://www.aan.com/msa/public/events/index/45" TargetMode="External"/><Relationship Id="rId491" Type="http://schemas.openxmlformats.org/officeDocument/2006/relationships/hyperlink" Target="https://www.sigg.it/wp-content/uploads/2021/11/SIGG2021_Programma-Definitivo_rev13.pdf" TargetMode="External"/><Relationship Id="rId505" Type="http://schemas.openxmlformats.org/officeDocument/2006/relationships/hyperlink" Target="https://www.americangeriatrics.org/opportunities/2022-ags-annual-scientific-meeting" TargetMode="External"/><Relationship Id="rId37" Type="http://schemas.openxmlformats.org/officeDocument/2006/relationships/hyperlink" Target="https://the-ins.org/wp-content/uploads/2024/07/program-book-taiwan-2023-web.pdf" TargetMode="External"/><Relationship Id="rId79" Type="http://schemas.openxmlformats.org/officeDocument/2006/relationships/hyperlink" Target="https://www.ioptmh2022.com/live-streaming/" TargetMode="External"/><Relationship Id="rId102" Type="http://schemas.openxmlformats.org/officeDocument/2006/relationships/hyperlink" Target="https://www.eaclipt.org/post/eaclipt-update-may-2021" TargetMode="External"/><Relationship Id="rId144" Type="http://schemas.openxmlformats.org/officeDocument/2006/relationships/hyperlink" Target="https://neuromuscularnetwork.ca/event/2022-cnsf-congress/" TargetMode="External"/><Relationship Id="rId547" Type="http://schemas.openxmlformats.org/officeDocument/2006/relationships/hyperlink" Target="https://cslide.ctimeetingtech.com/adpd23/attendee" TargetMode="External"/><Relationship Id="rId90" Type="http://schemas.openxmlformats.org/officeDocument/2006/relationships/hyperlink" Target="https://www.sfn.org/-/media/SfN/Documents/NEW-SfN/Meetings/Neuroscience-2023/General-Info-and-At-the-Meeting/Program-and-Exhibit-Guide-2023.pdf" TargetMode="External"/><Relationship Id="rId186" Type="http://schemas.openxmlformats.org/officeDocument/2006/relationships/hyperlink" Target="https://congressonazionalesin.it/wp-content/uploads/2020/11/SIN-Milano-V.E-DEFINITIVO-completo-agg.-26.11.2020.pdf" TargetMode="External"/><Relationship Id="rId351" Type="http://schemas.openxmlformats.org/officeDocument/2006/relationships/hyperlink" Target="https://www.psychologicalscience.org/redesign/wp-content/uploads/2024/05/2024-APS-Convention-Program-Brochure.pdf" TargetMode="External"/><Relationship Id="rId393" Type="http://schemas.openxmlformats.org/officeDocument/2006/relationships/hyperlink" Target="https://cdn.ymaws.com/www.psychotherapyresearch.org/resource/resmgr/imported/events/annualmeeting_progs/spr_meeting_program_2022.pdf" TargetMode="External"/><Relationship Id="rId407" Type="http://schemas.openxmlformats.org/officeDocument/2006/relationships/hyperlink" Target="https://www.ipa-online.org/events/annual-congress/past-ipa-congresses" TargetMode="External"/><Relationship Id="rId449" Type="http://schemas.openxmlformats.org/officeDocument/2006/relationships/hyperlink" Target="https://www.rounenkango.com/shuukai/25kai/pro.htm" TargetMode="External"/><Relationship Id="rId211" Type="http://schemas.openxmlformats.org/officeDocument/2006/relationships/hyperlink" Target="https://irumakikansoudan.hatenablog.jp/entry/2023/09/15/" TargetMode="External"/><Relationship Id="rId253" Type="http://schemas.openxmlformats.org/officeDocument/2006/relationships/hyperlink" Target="https://congresonacionaldepsiquiatria.es/web-2022/pdf/Programa_web_CNP22.pdf" TargetMode="External"/><Relationship Id="rId295" Type="http://schemas.openxmlformats.org/officeDocument/2006/relationships/hyperlink" Target="https://rehabpsychconference.org/wp-content/uploads/2023/02/RP2023_Program_021423.pdf" TargetMode="External"/><Relationship Id="rId309" Type="http://schemas.openxmlformats.org/officeDocument/2006/relationships/hyperlink" Target="https://www.amhca.org/events/eventdescription?CalendarEventKey=f73047e7-2825-4511-bfde-9df2c07ded89&amp;Home=%2Fhome" TargetMode="External"/><Relationship Id="rId460" Type="http://schemas.openxmlformats.org/officeDocument/2006/relationships/hyperlink" Target="https://www.bgs.org.uk/sites/default/files/content/events/files/2023_Spring_Programme%202_6.pdf" TargetMode="External"/><Relationship Id="rId516" Type="http://schemas.openxmlformats.org/officeDocument/2006/relationships/hyperlink" Target="https://www.gapna.org/learning/events/annual-conference/2020-annual-conference" TargetMode="External"/><Relationship Id="rId48" Type="http://schemas.openxmlformats.org/officeDocument/2006/relationships/hyperlink" Target="https://isbngroup.net/annual-meeting" TargetMode="External"/><Relationship Id="rId113" Type="http://schemas.openxmlformats.org/officeDocument/2006/relationships/hyperlink" Target="https://2022.ehps.net/wp-content/uploads/2022/08/EHPS_2022_SimpleProgram_24.08.2022_13.47.pdf" TargetMode="External"/><Relationship Id="rId320" Type="http://schemas.openxmlformats.org/officeDocument/2006/relationships/hyperlink" Target="https://anpaonline.org/event-3164340" TargetMode="External"/><Relationship Id="rId558" Type="http://schemas.openxmlformats.org/officeDocument/2006/relationships/hyperlink" Target="https://dementiaconference.mindauthors.com/feb-2024/" TargetMode="External"/><Relationship Id="rId155" Type="http://schemas.openxmlformats.org/officeDocument/2006/relationships/hyperlink" Target="https://sfpeada.fr/congres-sfpeada-2023-toutes-les-informations/" TargetMode="External"/><Relationship Id="rId197" Type="http://schemas.openxmlformats.org/officeDocument/2006/relationships/hyperlink" Target="https://neuro2024.jnss.org/program.html" TargetMode="External"/><Relationship Id="rId362" Type="http://schemas.openxmlformats.org/officeDocument/2006/relationships/hyperlink" Target="https://ispsus2023.sched.com/print" TargetMode="External"/><Relationship Id="rId418" Type="http://schemas.openxmlformats.org/officeDocument/2006/relationships/hyperlink" Target="https://www.alzdiscovery.org/events/event/22nd-international-conference-on-alzheimers-drug-discovery" TargetMode="External"/><Relationship Id="rId222" Type="http://schemas.openxmlformats.org/officeDocument/2006/relationships/hyperlink" Target="https://www.c-linkage.co.jp/jsnp53/program.html" TargetMode="External"/><Relationship Id="rId264" Type="http://schemas.openxmlformats.org/officeDocument/2006/relationships/hyperlink" Target="https://bnpa.org.uk/wp-content/uploads/2022/04/2020-BOOK.pdf" TargetMode="External"/><Relationship Id="rId471" Type="http://schemas.openxmlformats.org/officeDocument/2006/relationships/hyperlink" Target="https://sf3pa-congres.com/wp-content/uploads/2021/08/SF3PA2021_Prog_Brest.pdf" TargetMode="External"/><Relationship Id="rId17" Type="http://schemas.openxmlformats.org/officeDocument/2006/relationships/hyperlink" Target="https://iarpp.net/thesite/wp-content/uploads/2024/02/IARPP-2024-Conference-FINAL-UPDATED-2.pdf" TargetMode="External"/><Relationship Id="rId59" Type="http://schemas.openxmlformats.org/officeDocument/2006/relationships/hyperlink" Target="https://pmg.joynadmin.org/documents/1007/66048e8413957e42da466f42.pdf" TargetMode="External"/><Relationship Id="rId124" Type="http://schemas.openxmlformats.org/officeDocument/2006/relationships/hyperlink" Target="https://www.schizophrenianet.eu/_Resources/Persistent/3f0144ede85e3ef98ab46ebb14406fd474aff4cb/WebFlyerECSR2021.pdf" TargetMode="External"/><Relationship Id="rId527" Type="http://schemas.openxmlformats.org/officeDocument/2006/relationships/hyperlink" Target="https://canadiangeriatrics.ca/2023-Program" TargetMode="External"/><Relationship Id="rId569" Type="http://schemas.openxmlformats.org/officeDocument/2006/relationships/hyperlink" Target="https://static1.squarespace.com/static/6667327a01d03c100e178276/t/66a98090a8da76383215b6b6/1722384529051/CGS+2021+ASM+FULL+Program+Virtual.pdf" TargetMode="External"/><Relationship Id="rId70" Type="http://schemas.openxmlformats.org/officeDocument/2006/relationships/hyperlink" Target="https://www.casw-acts.ca/en/xv-world-congress-world-association-psychosocial-rehabilitation-wapr-canadian-psr-conference" TargetMode="External"/><Relationship Id="rId166" Type="http://schemas.openxmlformats.org/officeDocument/2006/relationships/hyperlink" Target="https://www.dgppnkongress.de/dgppn/dgppn2024/de-DE/search" TargetMode="External"/><Relationship Id="rId331" Type="http://schemas.openxmlformats.org/officeDocument/2006/relationships/hyperlink" Target="https://apsa.org/wp-content/uploads/2023/12/APSA-NM2024-preprogram_final-1.pdf" TargetMode="External"/><Relationship Id="rId373" Type="http://schemas.openxmlformats.org/officeDocument/2006/relationships/hyperlink" Target="https://www.eventscribe.net/2022/NAN/SearchByBucket.asp?f=TrackName&amp;bm=OnDemand&amp;pfp=BrowseOnDemand" TargetMode="External"/><Relationship Id="rId429" Type="http://schemas.openxmlformats.org/officeDocument/2006/relationships/hyperlink" Target="https://www.alzheimer-europe.org/conferences/past-conferences/2020-online/programme-and-abstracts" TargetMode="External"/><Relationship Id="rId1" Type="http://schemas.openxmlformats.org/officeDocument/2006/relationships/hyperlink" Target="https://www.icp2020.com/" TargetMode="External"/><Relationship Id="rId233" Type="http://schemas.openxmlformats.org/officeDocument/2006/relationships/hyperlink" Target="https://aepnya.es/wp-content/uploads/2022/11/AEPNYA_2022_Prog_A5_6as_web.pdf" TargetMode="External"/><Relationship Id="rId440" Type="http://schemas.openxmlformats.org/officeDocument/2006/relationships/hyperlink" Target="https://www.congre.co.jp/66jgs2024/program/images/66jgs_program_sitei.pdf" TargetMode="External"/><Relationship Id="rId28" Type="http://schemas.openxmlformats.org/officeDocument/2006/relationships/hyperlink" Target="https://www.conftool.org/icp2024/sessions.php" TargetMode="External"/><Relationship Id="rId275" Type="http://schemas.openxmlformats.org/officeDocument/2006/relationships/hyperlink" Target="https://aacap.confex.com/aacap/2023/meetingapp.cgi/Day/2023-10-22" TargetMode="External"/><Relationship Id="rId300" Type="http://schemas.openxmlformats.org/officeDocument/2006/relationships/hyperlink" Target="https://acnp.societyconference.com/conf/" TargetMode="External"/><Relationship Id="rId482" Type="http://schemas.openxmlformats.org/officeDocument/2006/relationships/hyperlink" Target="https://psicogeriatria.it/5-congresso-nazionale-giovani-aip/" TargetMode="External"/><Relationship Id="rId538" Type="http://schemas.openxmlformats.org/officeDocument/2006/relationships/hyperlink" Target="https://ccnp.ca/Content/PDF/CCNP_Program_2023.pdf" TargetMode="External"/><Relationship Id="rId81" Type="http://schemas.openxmlformats.org/officeDocument/2006/relationships/hyperlink" Target="https://heyzine.com/flip-book/70b8901841.html" TargetMode="External"/><Relationship Id="rId135" Type="http://schemas.openxmlformats.org/officeDocument/2006/relationships/hyperlink" Target="https://www.cagp.ca/2022-Program" TargetMode="External"/><Relationship Id="rId177" Type="http://schemas.openxmlformats.org/officeDocument/2006/relationships/hyperlink" Target="https://www.aipp-italia.com/wp-content/uploads/2023/09/IX-Congresso-AIPP2023BARI_PRG.pdf" TargetMode="External"/><Relationship Id="rId342" Type="http://schemas.openxmlformats.org/officeDocument/2006/relationships/hyperlink" Target="https://irp.cdn-website.com/a5ea5d51/files/uploaded/APA%202023%20Program-0ead88d8.pdf" TargetMode="External"/><Relationship Id="rId384" Type="http://schemas.openxmlformats.org/officeDocument/2006/relationships/hyperlink" Target="https://spsp.org/sites/default/files/2023-02/SPSP-2023-Convention-Agenda_2.pdf" TargetMode="External"/><Relationship Id="rId202" Type="http://schemas.openxmlformats.org/officeDocument/2006/relationships/hyperlink" Target="https://www.neurology-jp.org/neuro2024/aocn2024/program/download.html" TargetMode="External"/><Relationship Id="rId244" Type="http://schemas.openxmlformats.org/officeDocument/2006/relationships/hyperlink" Target="https://www.anpir.org/wp-content/uploads/PROGRAMA-PARA-LAS-XXI-JORNADAS-NACIONALES-Y-II-INTERNACIONALES-DE-ANPIR-30.7-%C3%97-21-cm-6.pdf" TargetMode="External"/><Relationship Id="rId39" Type="http://schemas.openxmlformats.org/officeDocument/2006/relationships/hyperlink" Target="https://the-ins.org/files/meetings/barcelona2022/program_book/PROGRAMA_FINAL_INS_2022.pdf" TargetMode="External"/><Relationship Id="rId286" Type="http://schemas.openxmlformats.org/officeDocument/2006/relationships/hyperlink" Target="https://www.aan.com/pdfprinter/api/print?filename=2021+Annual+Meeting&amp;url=https://www.aan.com/msa/public/events/index/34?print=true" TargetMode="External"/><Relationship Id="rId451" Type="http://schemas.openxmlformats.org/officeDocument/2006/relationships/hyperlink" Target="https://www.britishgerontology.org/events-and-courses/past-conferences/2023-uea-norwich" TargetMode="External"/><Relationship Id="rId493" Type="http://schemas.openxmlformats.org/officeDocument/2006/relationships/hyperlink" Target="https://congreso2024.sepg.es/pagina/programa" TargetMode="External"/><Relationship Id="rId507" Type="http://schemas.openxmlformats.org/officeDocument/2006/relationships/hyperlink" Target="https://www.gsa2024.org/Program" TargetMode="External"/><Relationship Id="rId549" Type="http://schemas.openxmlformats.org/officeDocument/2006/relationships/hyperlink" Target="https://cslide.ctimeetingtech.com/adpd21/attendee/confcal" TargetMode="External"/><Relationship Id="rId50" Type="http://schemas.openxmlformats.org/officeDocument/2006/relationships/hyperlink" Target="https://isbngroup.net/2022-stjohns" TargetMode="External"/><Relationship Id="rId104" Type="http://schemas.openxmlformats.org/officeDocument/2006/relationships/hyperlink" Target="https://www.ecnp.eu/about-ecnp/history/past-ecnp-meetings/past-congresses/barcelona2023/programme" TargetMode="External"/><Relationship Id="rId146" Type="http://schemas.openxmlformats.org/officeDocument/2006/relationships/hyperlink" Target="https://www.cpa-apc.org/cpa-virtual-conference-october-23-24-2020/" TargetMode="External"/><Relationship Id="rId188" Type="http://schemas.openxmlformats.org/officeDocument/2006/relationships/hyperlink" Target="https://www.c-linkage.co.jp/japh12/program.html" TargetMode="External"/><Relationship Id="rId311" Type="http://schemas.openxmlformats.org/officeDocument/2006/relationships/hyperlink" Target="https://2024.myana.org/program/schedule-at-a-glance" TargetMode="External"/><Relationship Id="rId353" Type="http://schemas.openxmlformats.org/officeDocument/2006/relationships/hyperlink" Target="https://www.psychologicalscience.org/redesign/wp-content/uploads/2022/05/Program_Book_APS_2022-Online.pdf" TargetMode="External"/><Relationship Id="rId395" Type="http://schemas.openxmlformats.org/officeDocument/2006/relationships/hyperlink" Target="https://www.spritalia.org/images/SPR_ITALIA/CONGRESSI/PROGRAMMA_SPR-IAG.pdf" TargetMode="External"/><Relationship Id="rId409" Type="http://schemas.openxmlformats.org/officeDocument/2006/relationships/hyperlink" Target="https://www.ctad-alzheimer.com/files/files/Final%20CTAD23%20Program%20Sept%2024.pdf" TargetMode="External"/><Relationship Id="rId560" Type="http://schemas.openxmlformats.org/officeDocument/2006/relationships/hyperlink" Target="https://cslide.ctimeetingtech.com/wcp20/attendee/confcal/session/list" TargetMode="External"/><Relationship Id="rId92" Type="http://schemas.openxmlformats.org/officeDocument/2006/relationships/hyperlink" Target="https://www.sfn.org/meetings/neuroscience-2021" TargetMode="External"/><Relationship Id="rId213" Type="http://schemas.openxmlformats.org/officeDocument/2006/relationships/hyperlink" Target="https://naj48.jp/pdf/timetable.pdf" TargetMode="External"/><Relationship Id="rId420" Type="http://schemas.openxmlformats.org/officeDocument/2006/relationships/hyperlink" Target="https://alz.org/media/Documents/scientific-conferences/AAIC-2024-Program-Alzheimers-Association.pdf" TargetMode="External"/><Relationship Id="rId255" Type="http://schemas.openxmlformats.org/officeDocument/2006/relationships/hyperlink" Target="https://congresonacionaldepsiquiatria.es/web-2020/pdf/2020/programa_CNP2020.pdf" TargetMode="External"/><Relationship Id="rId297" Type="http://schemas.openxmlformats.org/officeDocument/2006/relationships/hyperlink" Target="https://acnp.societyconference.com/conf/" TargetMode="External"/><Relationship Id="rId462" Type="http://schemas.openxmlformats.org/officeDocument/2006/relationships/hyperlink" Target="https://www.bgs.org.uk/events/spring-meeting-2021" TargetMode="External"/><Relationship Id="rId518" Type="http://schemas.openxmlformats.org/officeDocument/2006/relationships/hyperlink" Target="https://www.usa2summit.org/" TargetMode="External"/><Relationship Id="rId115" Type="http://schemas.openxmlformats.org/officeDocument/2006/relationships/hyperlink" Target="https://www.psyssa.com/34th-annual-conference-of-the-european-health-psych/" TargetMode="External"/><Relationship Id="rId157" Type="http://schemas.openxmlformats.org/officeDocument/2006/relationships/hyperlink" Target="https://psichiatria.it/evento/xxvii-congresso-nazionale-di-psichiatria-forense/" TargetMode="External"/><Relationship Id="rId322" Type="http://schemas.openxmlformats.org/officeDocument/2006/relationships/hyperlink" Target="https://www.psychiatry.org/getattachment/bc1754da-16a5-4b1b-a748-f95a380ad23c/2023-APA-AM-Program-Guide.pdf" TargetMode="External"/><Relationship Id="rId364" Type="http://schemas.openxmlformats.org/officeDocument/2006/relationships/hyperlink" Target="https://www.youtube.com/playlist?list=PLyn_Ty_RtNz4woQIBk8Tl4rVJEEFhnf_2" TargetMode="External"/><Relationship Id="rId61" Type="http://schemas.openxmlformats.org/officeDocument/2006/relationships/hyperlink" Target="https://schizophreniaresearchsociety.org/wp-content/uploads/2021/08/2022-SIRS-Prospectus-Final.pdf" TargetMode="External"/><Relationship Id="rId199" Type="http://schemas.openxmlformats.org/officeDocument/2006/relationships/hyperlink" Target="http://bpcnpnppp2022.umin.jp/program.html" TargetMode="External"/><Relationship Id="rId571" Type="http://schemas.openxmlformats.org/officeDocument/2006/relationships/hyperlink" Target="https://www.kcl.ac.uk/events/maudsley-prescribing-guidelines-international-conference-clinical-psychopharmacology-in-the-time-of-covid" TargetMode="External"/><Relationship Id="rId19" Type="http://schemas.openxmlformats.org/officeDocument/2006/relationships/hyperlink" Target="https://iarpp.net/thesite/wp-content/uploads/2020/02/IARPP-2020-Conference-Brochure-FINAL-0032_28.pdf" TargetMode="External"/><Relationship Id="rId224" Type="http://schemas.openxmlformats.org/officeDocument/2006/relationships/hyperlink" Target="https://www.c-linkage.co.jp/npbppp2020/program.html" TargetMode="External"/><Relationship Id="rId266" Type="http://schemas.openxmlformats.org/officeDocument/2006/relationships/hyperlink" Target="https://meetings.bna.org.uk/bna2021/programme_information/bna2021-by-day/" TargetMode="External"/><Relationship Id="rId431" Type="http://schemas.openxmlformats.org/officeDocument/2006/relationships/hyperlink" Target="https://www.alzheimersresearchuk.org/research/for-researchers/research-conference/past-events/research-conference-2023/scientific-programme-2023/" TargetMode="External"/><Relationship Id="rId473" Type="http://schemas.openxmlformats.org/officeDocument/2006/relationships/hyperlink" Target="https://www.geriatrie-kongress.de/files/geriatrie/2023/202309_Frankfurt_DGG-Kongress_Programm.pdf" TargetMode="External"/><Relationship Id="rId529" Type="http://schemas.openxmlformats.org/officeDocument/2006/relationships/hyperlink" Target="https://pmg.joynadmin.org/documents/1036/66397cae2036d74f70327fd2.pdf" TargetMode="External"/><Relationship Id="rId30" Type="http://schemas.openxmlformats.org/officeDocument/2006/relationships/hyperlink" Target="https://icpweb.org/icp-annual-conference/icp2021-online/" TargetMode="External"/><Relationship Id="rId126" Type="http://schemas.openxmlformats.org/officeDocument/2006/relationships/hyperlink" Target="https://fensforum.org/wp-content/uploads/2022/07/FENS22-Programme-at-a-glance-1.pdf" TargetMode="External"/><Relationship Id="rId168" Type="http://schemas.openxmlformats.org/officeDocument/2006/relationships/hyperlink" Target="https://www.dgkjp-kongress.de/_Resources/Persistent/79e939c91d8459e5b103bfcf23fb99df2f96e7c5/FlippingBook.pdf" TargetMode="External"/><Relationship Id="rId333" Type="http://schemas.openxmlformats.org/officeDocument/2006/relationships/hyperlink" Target="https://apsa.org/wp-content/uploads/2023/07/NM2023.pdf?ver" TargetMode="External"/><Relationship Id="rId540" Type="http://schemas.openxmlformats.org/officeDocument/2006/relationships/hyperlink" Target="https://www.jpn.ca/content/jpn/47/3_Suppl_1/S1.full.pdf" TargetMode="External"/><Relationship Id="rId72" Type="http://schemas.openxmlformats.org/officeDocument/2006/relationships/hyperlink" Target="https://en.planetofpsychotherapy.com/program/scientific-program.html" TargetMode="External"/><Relationship Id="rId375" Type="http://schemas.openxmlformats.org/officeDocument/2006/relationships/hyperlink" Target="https://www.nanonline.org/NAN/_ContinuingEducation/_Conference/2020_Chicago/2020_Annual_Conference.aspx" TargetMode="External"/><Relationship Id="rId3" Type="http://schemas.openxmlformats.org/officeDocument/2006/relationships/hyperlink" Target="https://discourseinpsychosis.org/wp-content/uploads/2024/03/Discourse_meeting_programme-1.pdf" TargetMode="External"/><Relationship Id="rId235" Type="http://schemas.openxmlformats.org/officeDocument/2006/relationships/hyperlink" Target="https://consaludmental.org/congreso-salud-mental/" TargetMode="External"/><Relationship Id="rId277" Type="http://schemas.openxmlformats.org/officeDocument/2006/relationships/hyperlink" Target="https://aacap-old.confex.com/aacap/2021/meetingapp.cgi/Day/2021-10-18" TargetMode="External"/><Relationship Id="rId400" Type="http://schemas.openxmlformats.org/officeDocument/2006/relationships/hyperlink" Target="https://www.societyofconsultingpsychology.org/wp-content/uploads/2022/02/30036-SCP-Conference-Program7.pdf" TargetMode="External"/><Relationship Id="rId442" Type="http://schemas.openxmlformats.org/officeDocument/2006/relationships/hyperlink" Target="https://www.congre.co.jp/64jgs/data/prog_sponsor.pdf" TargetMode="External"/><Relationship Id="rId484" Type="http://schemas.openxmlformats.org/officeDocument/2006/relationships/hyperlink" Target="https://www.piamfarmaceutici.com/wp-content/uploads/2021/09/3%C2%B0-Incontro-Nazionale-AIP-Giovani-Torino-bozza-1608-1-compresso.pdf" TargetMode="External"/><Relationship Id="rId137" Type="http://schemas.openxmlformats.org/officeDocument/2006/relationships/hyperlink" Target="https://www.cagp.ca/2020-ASM-program" TargetMode="External"/><Relationship Id="rId302" Type="http://schemas.openxmlformats.org/officeDocument/2006/relationships/hyperlink" Target="https://www.agpa.org/home/continuing-ed-meetings-events-training/agpa-connect-2023" TargetMode="External"/><Relationship Id="rId344" Type="http://schemas.openxmlformats.org/officeDocument/2006/relationships/hyperlink" Target="https://irp.cdn-website.com/a5ea5d51/files/uploaded/APA2021-on-demand-index.pdf" TargetMode="External"/><Relationship Id="rId41" Type="http://schemas.openxmlformats.org/officeDocument/2006/relationships/hyperlink" Target="https://the-ins.org/files/meetings/melbourne2021/program_book/Final_Program_2021_S2.pdf" TargetMode="External"/><Relationship Id="rId83" Type="http://schemas.openxmlformats.org/officeDocument/2006/relationships/hyperlink" Target="https://contextualscience.org/sites/default/files/WC2023%20Program_0.pdf" TargetMode="External"/><Relationship Id="rId179" Type="http://schemas.openxmlformats.org/officeDocument/2006/relationships/hyperlink" Target="https://aipass.org/eventi/xviii-congresso-nazionale-della-sezione-di-psicologia-sociale-dellaip/" TargetMode="External"/><Relationship Id="rId386" Type="http://schemas.openxmlformats.org/officeDocument/2006/relationships/hyperlink" Target="https://spsp.org/sites/default/files/2023-04/SPSP-2021-Virtual-Convention-Agenda-6.pdf" TargetMode="External"/><Relationship Id="rId551" Type="http://schemas.openxmlformats.org/officeDocument/2006/relationships/hyperlink" Target="https://www.dementiaworldconference.com/scientific-program.php" TargetMode="External"/><Relationship Id="rId190" Type="http://schemas.openxmlformats.org/officeDocument/2006/relationships/hyperlink" Target="https://www.nisseikyo.or.jp/news/topic/detail.php?@DB_ID@=588" TargetMode="External"/><Relationship Id="rId204" Type="http://schemas.openxmlformats.org/officeDocument/2006/relationships/hyperlink" Target="https://www.neurology-jp.org/neuro2022/en/program/download.html" TargetMode="External"/><Relationship Id="rId246" Type="http://schemas.openxmlformats.org/officeDocument/2006/relationships/hyperlink" Target="https://www.sen.es/attachments/article/3345/Programa-%20Jornada%20Pacientes%20RASEN23.pdf" TargetMode="External"/><Relationship Id="rId288" Type="http://schemas.openxmlformats.org/officeDocument/2006/relationships/hyperlink" Target="https://www.communitypsychiatry.org/events/mental-health-services-conference" TargetMode="External"/><Relationship Id="rId411" Type="http://schemas.openxmlformats.org/officeDocument/2006/relationships/hyperlink" Target="https://www.ctad-alzheimer.com/files/files/Program_CTAD2021_8nov%20%281%29.pdf" TargetMode="External"/><Relationship Id="rId453" Type="http://schemas.openxmlformats.org/officeDocument/2006/relationships/hyperlink" Target="https://www.britishgerontology.org/events-and-courses/past-conferences/2021-lancaster" TargetMode="External"/><Relationship Id="rId509" Type="http://schemas.openxmlformats.org/officeDocument/2006/relationships/hyperlink" Target="https://www.eventscribe.net/2022/GSA2022/agenda.asp?pfp=EdHarvSchedule" TargetMode="External"/><Relationship Id="rId106" Type="http://schemas.openxmlformats.org/officeDocument/2006/relationships/hyperlink" Target="https://www.ecnp.eu/about-ecnp/history/past-ecnp-meetings/past-congresses/lisbon2021/Programme" TargetMode="External"/><Relationship Id="rId313" Type="http://schemas.openxmlformats.org/officeDocument/2006/relationships/hyperlink" Target="https://myana.org/sites/ana/files/images/2022%20Final%20Program.pdf" TargetMode="External"/><Relationship Id="rId495" Type="http://schemas.openxmlformats.org/officeDocument/2006/relationships/hyperlink" Target="https://congreso2022.sepg.es/pagina/programa" TargetMode="External"/><Relationship Id="rId10" Type="http://schemas.openxmlformats.org/officeDocument/2006/relationships/hyperlink" Target="https://www.iagp.com/wp-content/uploads/2024/06/7th-IAGP-reg-conf-2024-Tunis.pdf" TargetMode="External"/><Relationship Id="rId52" Type="http://schemas.openxmlformats.org/officeDocument/2006/relationships/hyperlink" Target="https://confedent.eventsair.com/isps-2024/parallel-session-programme" TargetMode="External"/><Relationship Id="rId94" Type="http://schemas.openxmlformats.org/officeDocument/2006/relationships/hyperlink" Target="https://www.afpa.asia/pdf/WCAP2022.pdf" TargetMode="External"/><Relationship Id="rId148" Type="http://schemas.openxmlformats.org/officeDocument/2006/relationships/hyperlink" Target="https://cpa.ca/docs/File/Convention/2023/CPA%20Event%20Convention%20Guide%202023_FINAL.pdf" TargetMode="External"/><Relationship Id="rId355" Type="http://schemas.openxmlformats.org/officeDocument/2006/relationships/hyperlink" Target="https://abpsi.site-ym.com/page/ConventionCall" TargetMode="External"/><Relationship Id="rId397" Type="http://schemas.openxmlformats.org/officeDocument/2006/relationships/hyperlink" Target="https://drive.google.com/file/d/1N2g8K4fC0CNI57KgpR6G71E3r445Q7os/view" TargetMode="External"/><Relationship Id="rId520" Type="http://schemas.openxmlformats.org/officeDocument/2006/relationships/hyperlink" Target="https://www.usa2summit.org/archives/2021/home-2021" TargetMode="External"/><Relationship Id="rId562" Type="http://schemas.openxmlformats.org/officeDocument/2006/relationships/hyperlink" Target="https://www.congre.co.jp/jspn117/program.html" TargetMode="External"/><Relationship Id="rId215" Type="http://schemas.openxmlformats.org/officeDocument/2006/relationships/hyperlink" Target="http://naj46.umin.jp/program.html" TargetMode="External"/><Relationship Id="rId257" Type="http://schemas.openxmlformats.org/officeDocument/2006/relationships/hyperlink" Target="https://www.bap.org.uk/pdfs/BAP2023_programme.pdf" TargetMode="External"/><Relationship Id="rId422" Type="http://schemas.openxmlformats.org/officeDocument/2006/relationships/hyperlink" Target="https://aaic.alz.org/program/2022_scientific-sessions.asp" TargetMode="External"/><Relationship Id="rId464" Type="http://schemas.openxmlformats.org/officeDocument/2006/relationships/hyperlink" Target="https://sfgg2024.process.y-congress.com/ScientificProcess/Data/13/538/print/JASFGG2024-fr.pdf" TargetMode="External"/><Relationship Id="rId299" Type="http://schemas.openxmlformats.org/officeDocument/2006/relationships/hyperlink" Target="https://acnp.societyconference.com/conf/" TargetMode="External"/><Relationship Id="rId63" Type="http://schemas.openxmlformats.org/officeDocument/2006/relationships/hyperlink" Target="https://schizophreniaresearchsociety.org/wp-content/uploads/2019/06/Attachment-1-SIRS-Supporting-Corporation-Brochure-2020.pdf" TargetMode="External"/><Relationship Id="rId159" Type="http://schemas.openxmlformats.org/officeDocument/2006/relationships/hyperlink" Target="https://sipforense.it/wp-content/uploads/2024/02/PROGRAMMA-SIPF_2022.pdf" TargetMode="External"/><Relationship Id="rId366" Type="http://schemas.openxmlformats.org/officeDocument/2006/relationships/hyperlink" Target="https://mhanational.org/annual-conference/schedule" TargetMode="External"/><Relationship Id="rId573" Type="http://schemas.openxmlformats.org/officeDocument/2006/relationships/printerSettings" Target="../printerSettings/printerSettings4.bin"/><Relationship Id="rId226" Type="http://schemas.openxmlformats.org/officeDocument/2006/relationships/hyperlink" Target="https://www.c-linkage.co.jp/jspn120/program_en.html" TargetMode="External"/><Relationship Id="rId433" Type="http://schemas.openxmlformats.org/officeDocument/2006/relationships/hyperlink" Target="https://ukdri.ac.uk/events/alzheimers-research-uk-conference-2021" TargetMode="External"/><Relationship Id="rId74" Type="http://schemas.openxmlformats.org/officeDocument/2006/relationships/hyperlink" Target="https://iabp.org.in/images/brochure/brochure.pdf" TargetMode="External"/><Relationship Id="rId377" Type="http://schemas.openxmlformats.org/officeDocument/2006/relationships/hyperlink" Target="https://www.psychonomic.org/page/2023program" TargetMode="External"/><Relationship Id="rId500" Type="http://schemas.openxmlformats.org/officeDocument/2006/relationships/hyperlink" Target="https://www.enferalba.com/files/sabiasque/documentos/seegg2023programav1.pdf" TargetMode="External"/><Relationship Id="rId5" Type="http://schemas.openxmlformats.org/officeDocument/2006/relationships/hyperlink" Target="https://mentalacademy.ge/en/eaip-conference-4/?v=f803729628ad" TargetMode="External"/><Relationship Id="rId237" Type="http://schemas.openxmlformats.org/officeDocument/2006/relationships/hyperlink" Target="https://congresos.sepypna.com/wp-content/uploads/2024/04/2024-Programa-Congreso-SEPYPNA.pdf" TargetMode="External"/><Relationship Id="rId444" Type="http://schemas.openxmlformats.org/officeDocument/2006/relationships/hyperlink" Target="http://jgs62.umin.jp/program.html" TargetMode="External"/><Relationship Id="rId290" Type="http://schemas.openxmlformats.org/officeDocument/2006/relationships/hyperlink" Target="https://aagponline.org/wp-content/uploads/2023/02/2023SchedulAtAGlance.pdf" TargetMode="External"/><Relationship Id="rId304" Type="http://schemas.openxmlformats.org/officeDocument/2006/relationships/hyperlink" Target="https://agpa.org/docs/default-source/agpa-connect-2021/agpa2021-connectprogram-01-06-21.pdf?sfvrsn=c62b9ba9_0" TargetMode="External"/><Relationship Id="rId388" Type="http://schemas.openxmlformats.org/officeDocument/2006/relationships/hyperlink" Target="https://cdn.ymaws.com/www.psychotherapyresearch.org/resource/resmgr/imported/events/annualmeeting_progs/spr_meeting_program_2024.pdf" TargetMode="External"/><Relationship Id="rId511" Type="http://schemas.openxmlformats.org/officeDocument/2006/relationships/hyperlink" Target="https://www.johnahartford.org/dissemination-center/view/gsa-2020-annual-scientific-meeting-online" TargetMode="External"/><Relationship Id="rId85" Type="http://schemas.openxmlformats.org/officeDocument/2006/relationships/hyperlink" Target="https://contextualscience.org/sites/default/files/Brief%20Schedule%206.9_0.pdf" TargetMode="External"/><Relationship Id="rId150" Type="http://schemas.openxmlformats.org/officeDocument/2006/relationships/hyperlink" Target="https://cpa.ca/docs/File/Convention/2021/CPA%202021%20Annual%20National%20Convention%20Prospectus.pdf" TargetMode="External"/><Relationship Id="rId248" Type="http://schemas.openxmlformats.org/officeDocument/2006/relationships/hyperlink" Target="https://reunion2021.sen.es/lxxiii/programa" TargetMode="External"/><Relationship Id="rId455" Type="http://schemas.openxmlformats.org/officeDocument/2006/relationships/hyperlink" Target="https://www.bgs.org.uk/events/2024-autumn-meeting" TargetMode="External"/><Relationship Id="rId12" Type="http://schemas.openxmlformats.org/officeDocument/2006/relationships/hyperlink" Target="https://www.iagp.com/conferences/" TargetMode="External"/><Relationship Id="rId108" Type="http://schemas.openxmlformats.org/officeDocument/2006/relationships/hyperlink" Target="https://efpp-conference2024.com/schedule-i/" TargetMode="External"/><Relationship Id="rId315" Type="http://schemas.openxmlformats.org/officeDocument/2006/relationships/hyperlink" Target="https://myana.org/sites/ana/files/images/2020%20Final%20Program.pdf" TargetMode="External"/><Relationship Id="rId522" Type="http://schemas.openxmlformats.org/officeDocument/2006/relationships/hyperlink" Target="https://danskgerontologi.dk/aktiviteter/iagger-congress/" TargetMode="External"/><Relationship Id="rId96" Type="http://schemas.openxmlformats.org/officeDocument/2006/relationships/hyperlink" Target="https://www.ean.org/congress2022" TargetMode="External"/><Relationship Id="rId161" Type="http://schemas.openxmlformats.org/officeDocument/2006/relationships/hyperlink" Target="https://www.aousassari.it/documenti/11_45_20210521115617.pdf" TargetMode="External"/><Relationship Id="rId399" Type="http://schemas.openxmlformats.org/officeDocument/2006/relationships/hyperlink" Target="https://www.societyofconsultingpsychology.org/wp-content/uploads/2023/01/SCP-Conference-Program8.pdf" TargetMode="External"/><Relationship Id="rId259" Type="http://schemas.openxmlformats.org/officeDocument/2006/relationships/hyperlink" Target="https://www.bap.org.uk/pdfs/2021_Summer_Meeting_Live_Online_Programme.pdf" TargetMode="External"/><Relationship Id="rId466" Type="http://schemas.openxmlformats.org/officeDocument/2006/relationships/hyperlink" Target="https://sfgg2022.process.y-congress.com/ScientificProcess/Data/13/306/print/JASFGG2022-fr.pdf" TargetMode="External"/><Relationship Id="rId23" Type="http://schemas.openxmlformats.org/officeDocument/2006/relationships/hyperlink" Target="https://ibns.memberclicks.net/faqs-2021" TargetMode="External"/><Relationship Id="rId119" Type="http://schemas.openxmlformats.org/officeDocument/2006/relationships/hyperlink" Target="https://b-com.mci-group.com/CommunityPortal/ProgressivePortal/EPA2023/App/Views/InformationPage/View.aspx?InformationPageID=17291" TargetMode="External"/><Relationship Id="rId326" Type="http://schemas.openxmlformats.org/officeDocument/2006/relationships/hyperlink" Target="https://omsapaprod.wpenginepowered.com/wp-content/uploads/2024/08/2024-APNA-Registration-Brochure-Aug-8-update.pdf" TargetMode="External"/><Relationship Id="rId533" Type="http://schemas.openxmlformats.org/officeDocument/2006/relationships/hyperlink" Target="https://nncionline.org/event/2020-society-of-biological-psychiatry-sobp-annual-meeting-new-york-ny/" TargetMode="External"/><Relationship Id="rId172" Type="http://schemas.openxmlformats.org/officeDocument/2006/relationships/hyperlink" Target="https://dmkg.de/startseite/veranstaltungen-allgemein/events/dgn-kongress95-2022" TargetMode="External"/><Relationship Id="rId477" Type="http://schemas.openxmlformats.org/officeDocument/2006/relationships/hyperlink" Target="https://www.aipcongresso.it/medias/192-23-congresso-nazionale-aipprogramma.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pubmed.ncbi.nlm.nih.gov/7754415/" TargetMode="External"/><Relationship Id="rId21" Type="http://schemas.openxmlformats.org/officeDocument/2006/relationships/hyperlink" Target="https://www.sciencedirect.com/science/article/abs/pii/S0013700618301660?via%3Dihub" TargetMode="External"/><Relationship Id="rId42" Type="http://schemas.openxmlformats.org/officeDocument/2006/relationships/hyperlink" Target="https://www.bap.org.uk/pdfs/BAP_Guidelines-Schizophrenia2.pdf" TargetMode="External"/><Relationship Id="rId47" Type="http://schemas.openxmlformats.org/officeDocument/2006/relationships/hyperlink" Target="https://pubmed.ncbi.nlm.nih.gov/3062765/" TargetMode="External"/><Relationship Id="rId63" Type="http://schemas.openxmlformats.org/officeDocument/2006/relationships/hyperlink" Target="https://www.ncbi.nlm.nih.gov/pmc/articles/PMC3245585/" TargetMode="External"/><Relationship Id="rId68" Type="http://schemas.openxmlformats.org/officeDocument/2006/relationships/hyperlink" Target="https://www.ncbi.nlm.nih.gov/pmc/articles/PMC2474810/" TargetMode="External"/><Relationship Id="rId84" Type="http://schemas.openxmlformats.org/officeDocument/2006/relationships/hyperlink" Target="https://www.cambridge.org/core/services/aop-cambridge-core/content/view/05427A144DAC7E7AC9C877F62A1FDD01/S092493382202315Xa.pdf/european-psychiatric-association-guidance-on-treatment-of-cognitive-impairment-in-schizophrenia.pdf" TargetMode="External"/><Relationship Id="rId89" Type="http://schemas.openxmlformats.org/officeDocument/2006/relationships/hyperlink" Target="https://researchportal.hkr.se/en/publications/the-ipa-complete-guides-to-behavioural-and-psychological-symtoms--5" TargetMode="External"/><Relationship Id="rId16" Type="http://schemas.openxmlformats.org/officeDocument/2006/relationships/hyperlink" Target="https://www.psychiatrist.com/jcp/clinical-guidance-on-treatment-resistant-schizophrenia/" TargetMode="External"/><Relationship Id="rId11" Type="http://schemas.openxmlformats.org/officeDocument/2006/relationships/hyperlink" Target="https://journals.sagepub.com/doi/10.1177/0706743717719897" TargetMode="External"/><Relationship Id="rId32" Type="http://schemas.openxmlformats.org/officeDocument/2006/relationships/hyperlink" Target="https://pubmed.ncbi.nlm.nih.gov/25672664/" TargetMode="External"/><Relationship Id="rId37" Type="http://schemas.openxmlformats.org/officeDocument/2006/relationships/hyperlink" Target="https://www.elsevier.es/es-revista-revista-psiquiatria-salud-mental-286-linkresolver-eficacia-eficiencia-efectividad-el-tratamiento-S1888989116300593" TargetMode="External"/><Relationship Id="rId53" Type="http://schemas.openxmlformats.org/officeDocument/2006/relationships/hyperlink" Target="https://pubmed.ncbi.nlm.nih.gov/22114099/" TargetMode="External"/><Relationship Id="rId58" Type="http://schemas.openxmlformats.org/officeDocument/2006/relationships/hyperlink" Target="https://linkinghub.elsevier.com/retrieve/pii/S0924977X9700045X" TargetMode="External"/><Relationship Id="rId74" Type="http://schemas.openxmlformats.org/officeDocument/2006/relationships/hyperlink" Target="https://pubmed.ncbi.nlm.nih.gov/23728248/" TargetMode="External"/><Relationship Id="rId79" Type="http://schemas.openxmlformats.org/officeDocument/2006/relationships/hyperlink" Target="https://pubmed.ncbi.nlm.nih.gov/8788074/" TargetMode="External"/><Relationship Id="rId5" Type="http://schemas.openxmlformats.org/officeDocument/2006/relationships/hyperlink" Target="https://www.tandfonline.com/doi/full/10.1080/15622970902898980" TargetMode="External"/><Relationship Id="rId90" Type="http://schemas.openxmlformats.org/officeDocument/2006/relationships/hyperlink" Target="https://www.nice.org.uk/guidance/ta213/resources/aripiprazole-for-the-treatment-of-schizophrenia-in-people-aged-15to17years-pdf-82600247981509" TargetMode="External"/><Relationship Id="rId14" Type="http://schemas.openxmlformats.org/officeDocument/2006/relationships/hyperlink" Target="https://journals.sagepub.com/doi/full/10.1177/0706743717719894" TargetMode="External"/><Relationship Id="rId22" Type="http://schemas.openxmlformats.org/officeDocument/2006/relationships/hyperlink" Target="https://pubmed.ncbi.nlm.nih.gov/10668598/" TargetMode="External"/><Relationship Id="rId27" Type="http://schemas.openxmlformats.org/officeDocument/2006/relationships/hyperlink" Target="https://www.hogrefe.com/de/shop/evidenzbasierte-leitlinie-zur-psychotherapie-von-schizophrenie-und-anderen-psychotischen-stoerungen-88681.html" TargetMode="External"/><Relationship Id="rId30" Type="http://schemas.openxmlformats.org/officeDocument/2006/relationships/hyperlink" Target="https://link.springer.com/article/10.2165/00044011-200727010-00001" TargetMode="External"/><Relationship Id="rId35" Type="http://schemas.openxmlformats.org/officeDocument/2006/relationships/hyperlink" Target="https://pubmed.ncbi.nlm.nih.gov/18830847/" TargetMode="External"/><Relationship Id="rId43" Type="http://schemas.openxmlformats.org/officeDocument/2006/relationships/hyperlink" Target="https://www.sign.ac.uk/assets/sign131.pdf" TargetMode="External"/><Relationship Id="rId48" Type="http://schemas.openxmlformats.org/officeDocument/2006/relationships/hyperlink" Target="https://www.psychiatrist.com/jcp/algorithm-treatment-schizophrenia-correctional-setting/" TargetMode="External"/><Relationship Id="rId56" Type="http://schemas.openxmlformats.org/officeDocument/2006/relationships/hyperlink" Target="https://pubmed.ncbi.nlm.nih.gov/15096076/" TargetMode="External"/><Relationship Id="rId64" Type="http://schemas.openxmlformats.org/officeDocument/2006/relationships/hyperlink" Target="https://psychiatryonline.org/doi/10.1176/appi.ajp.161.8.1334" TargetMode="External"/><Relationship Id="rId69" Type="http://schemas.openxmlformats.org/officeDocument/2006/relationships/hyperlink" Target="https://www.ncbi.nlm.nih.gov/pmc/articles/PMC2483314/" TargetMode="External"/><Relationship Id="rId77" Type="http://schemas.openxmlformats.org/officeDocument/2006/relationships/hyperlink" Target="https://www.ncbi.nlm.nih.gov/pmc/articles/PMC2435292/" TargetMode="External"/><Relationship Id="rId8" Type="http://schemas.openxmlformats.org/officeDocument/2006/relationships/hyperlink" Target="https://www.ncbi.nlm.nih.gov/pmc/articles/PMC5593247/" TargetMode="External"/><Relationship Id="rId51" Type="http://schemas.openxmlformats.org/officeDocument/2006/relationships/hyperlink" Target="https://pubmed.ncbi.nlm.nih.gov/21965468/" TargetMode="External"/><Relationship Id="rId72" Type="http://schemas.openxmlformats.org/officeDocument/2006/relationships/hyperlink" Target="https://www.ncbi.nlm.nih.gov/pmc/articles/PMC2632223/" TargetMode="External"/><Relationship Id="rId80" Type="http://schemas.openxmlformats.org/officeDocument/2006/relationships/hyperlink" Target="https://www.sciencedirect.com/science/article/abs/pii/S0924977X06001040?via%3Dihub" TargetMode="External"/><Relationship Id="rId85" Type="http://schemas.openxmlformats.org/officeDocument/2006/relationships/hyperlink" Target="https://www.tga.gov.au/sites/default/files/2024-06/guideline-clinical-investigation-medicinal-products-including-depot-preparations-treatment-schizophrenia-ema.pdf" TargetMode="External"/><Relationship Id="rId3" Type="http://schemas.openxmlformats.org/officeDocument/2006/relationships/hyperlink" Target="https://psychiatryonline.org/doi/10.1176/appi.ajp.157.2.172" TargetMode="External"/><Relationship Id="rId12" Type="http://schemas.openxmlformats.org/officeDocument/2006/relationships/hyperlink" Target="https://journals.sagepub.com/doi/full/10.1177/0706743717720196" TargetMode="External"/><Relationship Id="rId17" Type="http://schemas.openxmlformats.org/officeDocument/2006/relationships/hyperlink" Target="https://journals.sagepub.com/doi/10.1177/070674379203700704?url_ver=Z39.88-2003&amp;rfr_id=ori:rid:crossref.org&amp;rfr_dat=cr_pub%20%200pubmed" TargetMode="External"/><Relationship Id="rId25" Type="http://schemas.openxmlformats.org/officeDocument/2006/relationships/hyperlink" Target="https://www.sciencedirect.com/science/article/abs/pii/S0013700613701076" TargetMode="External"/><Relationship Id="rId33" Type="http://schemas.openxmlformats.org/officeDocument/2006/relationships/hyperlink" Target="https://www.jsnp-org.jp/csrinfo/img/togo_guideline2022_0817.pdf" TargetMode="External"/><Relationship Id="rId38" Type="http://schemas.openxmlformats.org/officeDocument/2006/relationships/hyperlink" Target="https://www.sciencedirect.com/science/article/pii/S1888989117301416" TargetMode="External"/><Relationship Id="rId46" Type="http://schemas.openxmlformats.org/officeDocument/2006/relationships/hyperlink" Target="https://www.cambridge.org/core/journals/cns-spectrums/article/metaguidelines-for-the-management-of-patients-with-schizophrenia/C47CEB6C55423179EE774D7AABEA45CF" TargetMode="External"/><Relationship Id="rId59" Type="http://schemas.openxmlformats.org/officeDocument/2006/relationships/hyperlink" Target="https://pubmed.ncbi.nlm.nih.gov/18466880/" TargetMode="External"/><Relationship Id="rId67" Type="http://schemas.openxmlformats.org/officeDocument/2006/relationships/hyperlink" Target="https://pubmed.ncbi.nlm.nih.gov/18184635/" TargetMode="External"/><Relationship Id="rId20" Type="http://schemas.openxmlformats.org/officeDocument/2006/relationships/hyperlink" Target="https://pubmed.ncbi.nlm.nih.gov/24373464/" TargetMode="External"/><Relationship Id="rId41" Type="http://schemas.openxmlformats.org/officeDocument/2006/relationships/hyperlink" Target="https://www.tandfonline.com/doi/full/10.1185/03007995.2013.766591" TargetMode="External"/><Relationship Id="rId54" Type="http://schemas.openxmlformats.org/officeDocument/2006/relationships/hyperlink" Target="https://pubmed.ncbi.nlm.nih.gov/22102094/" TargetMode="External"/><Relationship Id="rId62" Type="http://schemas.openxmlformats.org/officeDocument/2006/relationships/hyperlink" Target="https://www.aafp.org/pubs/afp/issues/2024/0500/practice-guidelines-first-episode-psychosis-and-schizophrenia.html" TargetMode="External"/><Relationship Id="rId70" Type="http://schemas.openxmlformats.org/officeDocument/2006/relationships/hyperlink" Target="https://www.ncbi.nlm.nih.gov/pmc/articles/PMC2562029/" TargetMode="External"/><Relationship Id="rId75" Type="http://schemas.openxmlformats.org/officeDocument/2006/relationships/hyperlink" Target="https://pubmed.ncbi.nlm.nih.gov/18549876/" TargetMode="External"/><Relationship Id="rId83" Type="http://schemas.openxmlformats.org/officeDocument/2006/relationships/hyperlink" Target="https://www.cambridge.org/core/services/aop-cambridge-core/content/view/32291E7AE7D73DB9DDA2A4C7C91BD75A/S0924933822023161a.pdf/european-psychiatric-association-guidance-on-assessment-of-cognitive-impairment-in-schizophrenia.pdf" TargetMode="External"/><Relationship Id="rId88" Type="http://schemas.openxmlformats.org/officeDocument/2006/relationships/hyperlink" Target="https://www.ipa-online.org/UserFiles/file/IPA_BPSD_Specialists_Complete_Guide_Online_2015_Final.pdf" TargetMode="External"/><Relationship Id="rId91" Type="http://schemas.openxmlformats.org/officeDocument/2006/relationships/hyperlink" Target="https://psychiatryonline.org/doi/epdf/10.1176/appi.books.9780890424841" TargetMode="External"/><Relationship Id="rId1" Type="http://schemas.openxmlformats.org/officeDocument/2006/relationships/hyperlink" Target="https://www.tandfonline.com/doi/abs/10.1080/09638288.2017.1356384" TargetMode="External"/><Relationship Id="rId6" Type="http://schemas.openxmlformats.org/officeDocument/2006/relationships/hyperlink" Target="https://psychiatryonline.org/doi/10.1176/appi.ajp.2016.16050503" TargetMode="External"/><Relationship Id="rId15" Type="http://schemas.openxmlformats.org/officeDocument/2006/relationships/hyperlink" Target="https://journals.sagepub.com/doi/full/10.1177/0706743717720195" TargetMode="External"/><Relationship Id="rId23" Type="http://schemas.openxmlformats.org/officeDocument/2006/relationships/hyperlink" Target="https://pubmed.ncbi.nlm.nih.gov/11408792/" TargetMode="External"/><Relationship Id="rId28" Type="http://schemas.openxmlformats.org/officeDocument/2006/relationships/hyperlink" Target="https://www.psychiatrist.com/jcp/implementation-schizophrenia-practice-guideline-clinical/" TargetMode="External"/><Relationship Id="rId36" Type="http://schemas.openxmlformats.org/officeDocument/2006/relationships/hyperlink" Target="https://consaludmental.org/publicaciones/GPCesquizofrenia.pdf" TargetMode="External"/><Relationship Id="rId49" Type="http://schemas.openxmlformats.org/officeDocument/2006/relationships/hyperlink" Target="https://pubmed.ncbi.nlm.nih.gov/16469940/" TargetMode="External"/><Relationship Id="rId57" Type="http://schemas.openxmlformats.org/officeDocument/2006/relationships/hyperlink" Target="https://pubmed.ncbi.nlm.nih.gov/18549874/" TargetMode="External"/><Relationship Id="rId10" Type="http://schemas.openxmlformats.org/officeDocument/2006/relationships/hyperlink" Target="https://www.ncbi.nlm.nih.gov/pmc/articles/PMC5593248/" TargetMode="External"/><Relationship Id="rId31" Type="http://schemas.openxmlformats.org/officeDocument/2006/relationships/hyperlink" Target="https://sinpia.eu/wp-content/uploads/2019/02/2007_3.pdf" TargetMode="External"/><Relationship Id="rId44" Type="http://schemas.openxmlformats.org/officeDocument/2006/relationships/hyperlink" Target="https://www.nice.org.uk/guidance/cg178/resources/psychosis-and-schizophrenia-in-adults-prevention-and-management-pdf-35109758952133" TargetMode="External"/><Relationship Id="rId52" Type="http://schemas.openxmlformats.org/officeDocument/2006/relationships/hyperlink" Target="https://pubmed.ncbi.nlm.nih.gov/21765166/" TargetMode="External"/><Relationship Id="rId60" Type="http://schemas.openxmlformats.org/officeDocument/2006/relationships/hyperlink" Target="https://www.ncbi.nlm.nih.gov/pmc/articles/PMC2599914/" TargetMode="External"/><Relationship Id="rId65" Type="http://schemas.openxmlformats.org/officeDocument/2006/relationships/hyperlink" Target="https://www.jaacap.org/article/S0890-8567(13)00112-3/pdf" TargetMode="External"/><Relationship Id="rId73" Type="http://schemas.openxmlformats.org/officeDocument/2006/relationships/hyperlink" Target="https://www.ncbi.nlm.nih.gov/pmc/articles/PMC2800150/pdf/sbp130.pdf" TargetMode="External"/><Relationship Id="rId78" Type="http://schemas.openxmlformats.org/officeDocument/2006/relationships/hyperlink" Target="https://academic.oup.com/schizophreniabulletin/article/14/3/471/1865457" TargetMode="External"/><Relationship Id="rId81" Type="http://schemas.openxmlformats.org/officeDocument/2006/relationships/hyperlink" Target="https://www.cambridge.org/core/services/aop-cambridge-core/content/view/86280E47EC2DA56EC5F9D8B951DF698E/S0924933821000110a.pdf/epa-guidance-on-assessment-of-negative-symptoms-in-schizophrenia.pdf" TargetMode="External"/><Relationship Id="rId86" Type="http://schemas.openxmlformats.org/officeDocument/2006/relationships/hyperlink" Target="https://psychiatryonline.org/doi/epdf/10.1176/appi.books.9780890426807" TargetMode="External"/><Relationship Id="rId4" Type="http://schemas.openxmlformats.org/officeDocument/2006/relationships/hyperlink" Target="https://www.ncbi.nlm.nih.gov/pmc/articles/PMC4681562/" TargetMode="External"/><Relationship Id="rId9" Type="http://schemas.openxmlformats.org/officeDocument/2006/relationships/hyperlink" Target="https://journals.sagepub.com/doi/full/10.1177/0706743717720197" TargetMode="External"/><Relationship Id="rId13" Type="http://schemas.openxmlformats.org/officeDocument/2006/relationships/hyperlink" Target="https://journals.sagepub.com/doi/full/10.1177/0706743717719895" TargetMode="External"/><Relationship Id="rId18" Type="http://schemas.openxmlformats.org/officeDocument/2006/relationships/hyperlink" Target="https://www.ncbi.nlm.nih.gov/pmc/articles/PMC5593252/pdf/10.1177_0706743717720448.pdf" TargetMode="External"/><Relationship Id="rId39" Type="http://schemas.openxmlformats.org/officeDocument/2006/relationships/hyperlink" Target="https://onlinelibrary.wiley.com/doi/10.1111/j.1368-5031.2005.00498.x" TargetMode="External"/><Relationship Id="rId34" Type="http://schemas.openxmlformats.org/officeDocument/2006/relationships/hyperlink" Target="https://www.jsnp-org.jp/csrinfo/img/szgl_guide_all2022.pdf" TargetMode="External"/><Relationship Id="rId50" Type="http://schemas.openxmlformats.org/officeDocument/2006/relationships/hyperlink" Target="https://pubmed.ncbi.nlm.nih.gov/16247923/" TargetMode="External"/><Relationship Id="rId55" Type="http://schemas.openxmlformats.org/officeDocument/2006/relationships/hyperlink" Target="https://pubmed.ncbi.nlm.nih.gov/22080498/" TargetMode="External"/><Relationship Id="rId76" Type="http://schemas.openxmlformats.org/officeDocument/2006/relationships/hyperlink" Target="https://www.psychiatrist.com/jcp/texas-medication-algorithm-project-antipsychotic-algorithm-schizophrenia-2006-update/" TargetMode="External"/><Relationship Id="rId7" Type="http://schemas.openxmlformats.org/officeDocument/2006/relationships/hyperlink" Target="https://www.tandfonline.com/doi/full/10.1080/13651501.2017.1291839" TargetMode="External"/><Relationship Id="rId71" Type="http://schemas.openxmlformats.org/officeDocument/2006/relationships/hyperlink" Target="https://academic.oup.com/schizophreniabulletin/article/28/1/5/1907056?login=false" TargetMode="External"/><Relationship Id="rId2" Type="http://schemas.openxmlformats.org/officeDocument/2006/relationships/hyperlink" Target="https://www.ncbi.nlm.nih.gov/pmc/articles/PMC11112473/" TargetMode="External"/><Relationship Id="rId29" Type="http://schemas.openxmlformats.org/officeDocument/2006/relationships/hyperlink" Target="https://www.dgppn.de/_Resources/Persistent/b794e84f9cbdf0d761b26cb1bd323b65188cb9e6/038-009e_S3_Schizophrenie_2019-03.pdf" TargetMode="External"/><Relationship Id="rId24" Type="http://schemas.openxmlformats.org/officeDocument/2006/relationships/hyperlink" Target="https://www.has-sante.fr/upload/docs/application/pdf/2022-10/synthese_mg_schizophrenie_a_debut_precoce.pdf" TargetMode="External"/><Relationship Id="rId40" Type="http://schemas.openxmlformats.org/officeDocument/2006/relationships/hyperlink" Target="https://pubmed.ncbi.nlm.nih.gov/19132965/" TargetMode="External"/><Relationship Id="rId45" Type="http://schemas.openxmlformats.org/officeDocument/2006/relationships/hyperlink" Target="https://www.nice.org.uk/guidance/cg155/resources/psychosis-and-schizophrenia-in-children-and-young-people-recognition-and-management-pdf-35109632980933" TargetMode="External"/><Relationship Id="rId66" Type="http://schemas.openxmlformats.org/officeDocument/2006/relationships/hyperlink" Target="https://www.ajgponline.org/article/S1064-7481(12)60994-4/abstract" TargetMode="External"/><Relationship Id="rId87" Type="http://schemas.openxmlformats.org/officeDocument/2006/relationships/hyperlink" Target="https://ccsmh.ca/wp-content/uploads/2024/03/V4-CCSMH-BPSD-Clinical-Guidelines_Final-for-webinar.pdf" TargetMode="External"/><Relationship Id="rId61" Type="http://schemas.openxmlformats.org/officeDocument/2006/relationships/hyperlink" Target="https://pubmed.ncbi.nlm.nih.gov/17314729/" TargetMode="External"/><Relationship Id="rId82" Type="http://schemas.openxmlformats.org/officeDocument/2006/relationships/hyperlink" Target="https://www.europsy.net/app/uploads/2021/03/epa-guidance-on-treatment-of-negative-symptoms-in-schizophrenia.pdf" TargetMode="External"/><Relationship Id="rId19" Type="http://schemas.openxmlformats.org/officeDocument/2006/relationships/hyperlink" Target="https://journals.sagepub.com/doi/full/10.1177/0706743717719898"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baerfoundation.com/" TargetMode="External"/><Relationship Id="rId21" Type="http://schemas.openxmlformats.org/officeDocument/2006/relationships/hyperlink" Target="https://www.scottishneurological.org.uk/" TargetMode="External"/><Relationship Id="rId42" Type="http://schemas.openxmlformats.org/officeDocument/2006/relationships/hyperlink" Target="https://www.promesses-sz.fr/" TargetMode="External"/><Relationship Id="rId47" Type="http://schemas.openxmlformats.org/officeDocument/2006/relationships/hyperlink" Target="http://www.unasam.it/" TargetMode="External"/><Relationship Id="rId63" Type="http://schemas.openxmlformats.org/officeDocument/2006/relationships/hyperlink" Target="https://www.alzheimer.it/" TargetMode="External"/><Relationship Id="rId68" Type="http://schemas.openxmlformats.org/officeDocument/2006/relationships/hyperlink" Target="https://curealz.org/" TargetMode="External"/><Relationship Id="rId84" Type="http://schemas.openxmlformats.org/officeDocument/2006/relationships/hyperlink" Target="https://www.fondazione-manuli.org/" TargetMode="External"/><Relationship Id="rId89" Type="http://schemas.openxmlformats.org/officeDocument/2006/relationships/hyperlink" Target="https://carersworldwide.org/" TargetMode="External"/><Relationship Id="rId16" Type="http://schemas.openxmlformats.org/officeDocument/2006/relationships/hyperlink" Target="https://www.nationalbrainappeal.org/" TargetMode="External"/><Relationship Id="rId11" Type="http://schemas.openxmlformats.org/officeDocument/2006/relationships/hyperlink" Target="https://www.brainresearchuk.org.uk/" TargetMode="External"/><Relationship Id="rId32" Type="http://schemas.openxmlformats.org/officeDocument/2006/relationships/hyperlink" Target="https://www.treatmentadvocacycenter.org/" TargetMode="External"/><Relationship Id="rId37" Type="http://schemas.openxmlformats.org/officeDocument/2006/relationships/hyperlink" Target="https://www.schizoespoir.com/" TargetMode="External"/><Relationship Id="rId53" Type="http://schemas.openxmlformats.org/officeDocument/2006/relationships/hyperlink" Target="http://www.schizophrenia.com/index.html" TargetMode="External"/><Relationship Id="rId58" Type="http://schemas.openxmlformats.org/officeDocument/2006/relationships/hyperlink" Target="https://www.alzheimersresearchuk.org/" TargetMode="External"/><Relationship Id="rId74" Type="http://schemas.openxmlformats.org/officeDocument/2006/relationships/hyperlink" Target="https://thewomensalzheimersmovement.org/" TargetMode="External"/><Relationship Id="rId79" Type="http://schemas.openxmlformats.org/officeDocument/2006/relationships/hyperlink" Target="https://alzheimer-recherche.org/" TargetMode="External"/><Relationship Id="rId5" Type="http://schemas.openxmlformats.org/officeDocument/2006/relationships/hyperlink" Target="https://schizophrenia.ca/" TargetMode="External"/><Relationship Id="rId90" Type="http://schemas.openxmlformats.org/officeDocument/2006/relationships/hyperlink" Target="https://eurocarers.org/" TargetMode="External"/><Relationship Id="rId95" Type="http://schemas.openxmlformats.org/officeDocument/2006/relationships/hyperlink" Target="https://www.caregiving.org/" TargetMode="External"/><Relationship Id="rId22" Type="http://schemas.openxmlformats.org/officeDocument/2006/relationships/hyperlink" Target="https://www.walesneurologicalalliance.org.uk/" TargetMode="External"/><Relationship Id="rId27" Type="http://schemas.openxmlformats.org/officeDocument/2006/relationships/hyperlink" Target="https://curesz.org/" TargetMode="External"/><Relationship Id="rId43" Type="http://schemas.openxmlformats.org/officeDocument/2006/relationships/hyperlink" Target="https://www.ma-schizophrenie.com/" TargetMode="External"/><Relationship Id="rId48" Type="http://schemas.openxmlformats.org/officeDocument/2006/relationships/hyperlink" Target="https://www.aipp-italia.com/" TargetMode="External"/><Relationship Id="rId64" Type="http://schemas.openxmlformats.org/officeDocument/2006/relationships/hyperlink" Target="https://www.alzheimer.or.jp/" TargetMode="External"/><Relationship Id="rId69" Type="http://schemas.openxmlformats.org/officeDocument/2006/relationships/hyperlink" Target="https://www.alzcare.org/" TargetMode="External"/><Relationship Id="rId80" Type="http://schemas.openxmlformats.org/officeDocument/2006/relationships/hyperlink" Target="https://www.fondation-alzheimer.org/" TargetMode="External"/><Relationship Id="rId85" Type="http://schemas.openxmlformats.org/officeDocument/2006/relationships/hyperlink" Target="https://www.pernonsentirsisoli.org/" TargetMode="External"/><Relationship Id="rId3" Type="http://schemas.openxmlformats.org/officeDocument/2006/relationships/hyperlink" Target="https://www.hope4mentalhealth.ca/" TargetMode="External"/><Relationship Id="rId12" Type="http://schemas.openxmlformats.org/officeDocument/2006/relationships/hyperlink" Target="https://eps.ac.uk/" TargetMode="External"/><Relationship Id="rId17" Type="http://schemas.openxmlformats.org/officeDocument/2006/relationships/hyperlink" Target="https://www.rethink.org/" TargetMode="External"/><Relationship Id="rId25" Type="http://schemas.openxmlformats.org/officeDocument/2006/relationships/hyperlink" Target="https://sczaction.org/" TargetMode="External"/><Relationship Id="rId33" Type="http://schemas.openxmlformats.org/officeDocument/2006/relationships/hyperlink" Target="https://www.mind.org.uk/" TargetMode="External"/><Relationship Id="rId38" Type="http://schemas.openxmlformats.org/officeDocument/2006/relationships/hyperlink" Target="https://profamille.site/" TargetMode="External"/><Relationship Id="rId46" Type="http://schemas.openxmlformats.org/officeDocument/2006/relationships/hyperlink" Target="https://consaludmental.org/" TargetMode="External"/><Relationship Id="rId59" Type="http://schemas.openxmlformats.org/officeDocument/2006/relationships/hyperlink" Target="https://alzheimer.ca/en" TargetMode="External"/><Relationship Id="rId67" Type="http://schemas.openxmlformats.org/officeDocument/2006/relationships/hyperlink" Target="https://www.alzheimeruniti.it/" TargetMode="External"/><Relationship Id="rId20" Type="http://schemas.openxmlformats.org/officeDocument/2006/relationships/hyperlink" Target="https://www.neural.org.uk/" TargetMode="External"/><Relationship Id="rId41" Type="http://schemas.openxmlformats.org/officeDocument/2006/relationships/hyperlink" Target="https://positiveminders.com/" TargetMode="External"/><Relationship Id="rId54" Type="http://schemas.openxmlformats.org/officeDocument/2006/relationships/hyperlink" Target="https://www.alzint.org/" TargetMode="External"/><Relationship Id="rId62" Type="http://schemas.openxmlformats.org/officeDocument/2006/relationships/hyperlink" Target="https://www.deutsche-alzheimer.de/" TargetMode="External"/><Relationship Id="rId70" Type="http://schemas.openxmlformats.org/officeDocument/2006/relationships/hyperlink" Target="https://curingalzheimersdisease.com/" TargetMode="External"/><Relationship Id="rId75" Type="http://schemas.openxmlformats.org/officeDocument/2006/relationships/hyperlink" Target="https://fpmaragall.org/" TargetMode="External"/><Relationship Id="rId83" Type="http://schemas.openxmlformats.org/officeDocument/2006/relationships/hyperlink" Target="https://www.caima.it/" TargetMode="External"/><Relationship Id="rId88" Type="http://schemas.openxmlformats.org/officeDocument/2006/relationships/hyperlink" Target="https://alzimpact.org/" TargetMode="External"/><Relationship Id="rId91" Type="http://schemas.openxmlformats.org/officeDocument/2006/relationships/hyperlink" Target="https://www.carerscanada.ca/" TargetMode="External"/><Relationship Id="rId96" Type="http://schemas.openxmlformats.org/officeDocument/2006/relationships/hyperlink" Target="https://www.acufade.org/" TargetMode="External"/><Relationship Id="rId1" Type="http://schemas.openxmlformats.org/officeDocument/2006/relationships/hyperlink" Target="https://www.camh.ca/" TargetMode="External"/><Relationship Id="rId6" Type="http://schemas.openxmlformats.org/officeDocument/2006/relationships/hyperlink" Target="https://www.mhafoc.com/" TargetMode="External"/><Relationship Id="rId15" Type="http://schemas.openxmlformats.org/officeDocument/2006/relationships/hyperlink" Target="https://mentalhealth-uk.org/" TargetMode="External"/><Relationship Id="rId23" Type="http://schemas.openxmlformats.org/officeDocument/2006/relationships/hyperlink" Target="https://schizophreniaresearchfund.org.uk/" TargetMode="External"/><Relationship Id="rId28" Type="http://schemas.openxmlformats.org/officeDocument/2006/relationships/hyperlink" Target="https://www.nami.org/" TargetMode="External"/><Relationship Id="rId36" Type="http://schemas.openxmlformats.org/officeDocument/2006/relationships/hyperlink" Target="https://www.schizo-oui.com/" TargetMode="External"/><Relationship Id="rId49" Type="http://schemas.openxmlformats.org/officeDocument/2006/relationships/hyperlink" Target="https://www.diapsigraprato.it/" TargetMode="External"/><Relationship Id="rId57" Type="http://schemas.openxmlformats.org/officeDocument/2006/relationships/hyperlink" Target="https://www.alzheimers.org.uk/" TargetMode="External"/><Relationship Id="rId10" Type="http://schemas.openxmlformats.org/officeDocument/2006/relationships/hyperlink" Target="https://www.amafe.org/" TargetMode="External"/><Relationship Id="rId31" Type="http://schemas.openxmlformats.org/officeDocument/2006/relationships/hyperlink" Target="https://www.sane.org.uk/" TargetMode="External"/><Relationship Id="rId44" Type="http://schemas.openxmlformats.org/officeDocument/2006/relationships/hyperlink" Target="https://www.americanbraincoalition.org/" TargetMode="External"/><Relationship Id="rId52" Type="http://schemas.openxmlformats.org/officeDocument/2006/relationships/hyperlink" Target="https://www.together-uk.org/" TargetMode="External"/><Relationship Id="rId60" Type="http://schemas.openxmlformats.org/officeDocument/2006/relationships/hyperlink" Target="https://www.francealzheimer.org/" TargetMode="External"/><Relationship Id="rId65" Type="http://schemas.openxmlformats.org/officeDocument/2006/relationships/hyperlink" Target="https://www.ceafa.es/es" TargetMode="External"/><Relationship Id="rId73" Type="http://schemas.openxmlformats.org/officeDocument/2006/relationships/hyperlink" Target="https://www.jdfaf.org/" TargetMode="External"/><Relationship Id="rId78" Type="http://schemas.openxmlformats.org/officeDocument/2006/relationships/hyperlink" Target="https://www.fondation-mederic-alzheimer.org/" TargetMode="External"/><Relationship Id="rId81" Type="http://schemas.openxmlformats.org/officeDocument/2006/relationships/hyperlink" Target="http://www.alzheimer-aima.it/" TargetMode="External"/><Relationship Id="rId86" Type="http://schemas.openxmlformats.org/officeDocument/2006/relationships/hyperlink" Target="https://www.deutsche-alzheimer-stiftung.de/" TargetMode="External"/><Relationship Id="rId94" Type="http://schemas.openxmlformats.org/officeDocument/2006/relationships/hyperlink" Target="https://www.carersuk.org/" TargetMode="External"/><Relationship Id="rId99" Type="http://schemas.openxmlformats.org/officeDocument/2006/relationships/hyperlink" Target="https://www.caregiver.org/" TargetMode="External"/><Relationship Id="rId4" Type="http://schemas.openxmlformats.org/officeDocument/2006/relationships/hyperlink" Target="https://www.mhrc.ca/" TargetMode="External"/><Relationship Id="rId9" Type="http://schemas.openxmlformats.org/officeDocument/2006/relationships/hyperlink" Target="https://progettoitaca.org/" TargetMode="External"/><Relationship Id="rId13" Type="http://schemas.openxmlformats.org/officeDocument/2006/relationships/hyperlink" Target="https://livingwithschizophreniauk.org/" TargetMode="External"/><Relationship Id="rId18" Type="http://schemas.openxmlformats.org/officeDocument/2006/relationships/hyperlink" Target="https://www.samh.org.uk/" TargetMode="External"/><Relationship Id="rId39" Type="http://schemas.openxmlformats.org/officeDocument/2006/relationships/hyperlink" Target="https://www.facebook.com/schizojeunes" TargetMode="External"/><Relationship Id="rId34" Type="http://schemas.openxmlformats.org/officeDocument/2006/relationships/hyperlink" Target="https://www.youngminds.org.uk/" TargetMode="External"/><Relationship Id="rId50" Type="http://schemas.openxmlformats.org/officeDocument/2006/relationships/hyperlink" Target="https://prepsy.fr/" TargetMode="External"/><Relationship Id="rId55" Type="http://schemas.openxmlformats.org/officeDocument/2006/relationships/hyperlink" Target="https://www.alz.org/" TargetMode="External"/><Relationship Id="rId76" Type="http://schemas.openxmlformats.org/officeDocument/2006/relationships/hyperlink" Target="https://www.fundacionreinasofia.es/ES/Paginas/home.aspx" TargetMode="External"/><Relationship Id="rId97" Type="http://schemas.openxmlformats.org/officeDocument/2006/relationships/hyperlink" Target="https://www.allipa.de/" TargetMode="External"/><Relationship Id="rId7" Type="http://schemas.openxmlformats.org/officeDocument/2006/relationships/hyperlink" Target="http://www.giuliaematteo.org/" TargetMode="External"/><Relationship Id="rId71" Type="http://schemas.openxmlformats.org/officeDocument/2006/relationships/hyperlink" Target="https://www.usagainstalzheimers.org/" TargetMode="External"/><Relationship Id="rId92" Type="http://schemas.openxmlformats.org/officeDocument/2006/relationships/hyperlink" Target="https://www.aidants.fr/" TargetMode="External"/><Relationship Id="rId2" Type="http://schemas.openxmlformats.org/officeDocument/2006/relationships/hyperlink" Target="https://braincanada.ca/" TargetMode="External"/><Relationship Id="rId29" Type="http://schemas.openxmlformats.org/officeDocument/2006/relationships/hyperlink" Target="https://seishinhoken.jp/" TargetMode="External"/><Relationship Id="rId24" Type="http://schemas.openxmlformats.org/officeDocument/2006/relationships/hyperlink" Target="https://www.johnhenry.org/" TargetMode="External"/><Relationship Id="rId40" Type="http://schemas.openxmlformats.org/officeDocument/2006/relationships/hyperlink" Target="https://www.solidarite-rehabilitation.org/" TargetMode="External"/><Relationship Id="rId45" Type="http://schemas.openxmlformats.org/officeDocument/2006/relationships/hyperlink" Target="https://www.fnapsy.org/" TargetMode="External"/><Relationship Id="rId66" Type="http://schemas.openxmlformats.org/officeDocument/2006/relationships/hyperlink" Target="https://alzfae.org/" TargetMode="External"/><Relationship Id="rId87" Type="http://schemas.openxmlformats.org/officeDocument/2006/relationships/hyperlink" Target="https://alzheimer-organisation.de/" TargetMode="External"/><Relationship Id="rId61" Type="http://schemas.openxmlformats.org/officeDocument/2006/relationships/hyperlink" Target="https://www.alzheimer-europe.org/" TargetMode="External"/><Relationship Id="rId82" Type="http://schemas.openxmlformats.org/officeDocument/2006/relationships/hyperlink" Target="https://www.airalzh.it/" TargetMode="External"/><Relationship Id="rId19" Type="http://schemas.openxmlformats.org/officeDocument/2006/relationships/hyperlink" Target="https://www.thebraincharity.org.uk/" TargetMode="External"/><Relationship Id="rId14" Type="http://schemas.openxmlformats.org/officeDocument/2006/relationships/hyperlink" Target="https://www.mentalhealth.org.uk/" TargetMode="External"/><Relationship Id="rId30" Type="http://schemas.openxmlformats.org/officeDocument/2006/relationships/hyperlink" Target="https://www.eufami.org/" TargetMode="External"/><Relationship Id="rId35" Type="http://schemas.openxmlformats.org/officeDocument/2006/relationships/hyperlink" Target="https://www.unafam.org/" TargetMode="External"/><Relationship Id="rId56" Type="http://schemas.openxmlformats.org/officeDocument/2006/relationships/hyperlink" Target="https://alzfdn.org/" TargetMode="External"/><Relationship Id="rId77" Type="http://schemas.openxmlformats.org/officeDocument/2006/relationships/hyperlink" Target="https://www.vaincrealzheimer.org/" TargetMode="External"/><Relationship Id="rId100" Type="http://schemas.openxmlformats.org/officeDocument/2006/relationships/printerSettings" Target="../printerSettings/printerSettings5.bin"/><Relationship Id="rId8" Type="http://schemas.openxmlformats.org/officeDocument/2006/relationships/hyperlink" Target="https://www.aitsam.it/" TargetMode="External"/><Relationship Id="rId51" Type="http://schemas.openxmlformats.org/officeDocument/2006/relationships/hyperlink" Target="https://www.bapk.de/der-bapk.html" TargetMode="External"/><Relationship Id="rId72" Type="http://schemas.openxmlformats.org/officeDocument/2006/relationships/hyperlink" Target="https://www.wearehfc.org/" TargetMode="External"/><Relationship Id="rId93" Type="http://schemas.openxmlformats.org/officeDocument/2006/relationships/hyperlink" Target="https://carersjapan.com/" TargetMode="External"/><Relationship Id="rId98" Type="http://schemas.openxmlformats.org/officeDocument/2006/relationships/hyperlink" Target="https://carers.org/"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cnsf.org/" TargetMode="External"/><Relationship Id="rId21" Type="http://schemas.openxmlformats.org/officeDocument/2006/relationships/hyperlink" Target="https://apsa.org/" TargetMode="External"/><Relationship Id="rId42" Type="http://schemas.openxmlformats.org/officeDocument/2006/relationships/hyperlink" Target="https://www.aacpsy.org/" TargetMode="External"/><Relationship Id="rId63" Type="http://schemas.openxmlformats.org/officeDocument/2006/relationships/hyperlink" Target="https://www.neurology-jp.org/" TargetMode="External"/><Relationship Id="rId84" Type="http://schemas.openxmlformats.org/officeDocument/2006/relationships/hyperlink" Target="https://www.wfmh.global/" TargetMode="External"/><Relationship Id="rId138" Type="http://schemas.openxmlformats.org/officeDocument/2006/relationships/hyperlink" Target="https://www.fondation-fondamental.org/" TargetMode="External"/><Relationship Id="rId159" Type="http://schemas.openxmlformats.org/officeDocument/2006/relationships/hyperlink" Target="https://www.dgps.de/" TargetMode="External"/><Relationship Id="rId170" Type="http://schemas.openxmlformats.org/officeDocument/2006/relationships/hyperlink" Target="https://sfgg.org/" TargetMode="External"/><Relationship Id="rId191" Type="http://schemas.openxmlformats.org/officeDocument/2006/relationships/hyperlink" Target="https://istaart.alz.org/home" TargetMode="External"/><Relationship Id="rId107" Type="http://schemas.openxmlformats.org/officeDocument/2006/relationships/hyperlink" Target="https://neurologyacademy.org/" TargetMode="External"/><Relationship Id="rId11" Type="http://schemas.openxmlformats.org/officeDocument/2006/relationships/hyperlink" Target="https://www.worldpsyche.org/" TargetMode="External"/><Relationship Id="rId32" Type="http://schemas.openxmlformats.org/officeDocument/2006/relationships/hyperlink" Target="https://www.efpa.eu/" TargetMode="External"/><Relationship Id="rId53" Type="http://schemas.openxmlformats.org/officeDocument/2006/relationships/hyperlink" Target="https://www.dgkjp.de/" TargetMode="External"/><Relationship Id="rId74" Type="http://schemas.openxmlformats.org/officeDocument/2006/relationships/hyperlink" Target="https://isps.org/" TargetMode="External"/><Relationship Id="rId128" Type="http://schemas.openxmlformats.org/officeDocument/2006/relationships/hyperlink" Target="https://fedepsychiatrie.fr/" TargetMode="External"/><Relationship Id="rId149" Type="http://schemas.openxmlformats.org/officeDocument/2006/relationships/hyperlink" Target="http://www.npo-jam.org/" TargetMode="External"/><Relationship Id="rId5" Type="http://schemas.openxmlformats.org/officeDocument/2006/relationships/hyperlink" Target="https://www.psychiatry.org/" TargetMode="External"/><Relationship Id="rId95" Type="http://schemas.openxmlformats.org/officeDocument/2006/relationships/hyperlink" Target="https://isnip.org/" TargetMode="External"/><Relationship Id="rId160" Type="http://schemas.openxmlformats.org/officeDocument/2006/relationships/hyperlink" Target="https://isbngroup.net/" TargetMode="External"/><Relationship Id="rId181" Type="http://schemas.openxmlformats.org/officeDocument/2006/relationships/hyperlink" Target="https://www.britishgerontology.org/" TargetMode="External"/><Relationship Id="rId22" Type="http://schemas.openxmlformats.org/officeDocument/2006/relationships/hyperlink" Target="https://www.agpa.org/" TargetMode="External"/><Relationship Id="rId43" Type="http://schemas.openxmlformats.org/officeDocument/2006/relationships/hyperlink" Target="https://www.acadpsychclinicalscience.org/" TargetMode="External"/><Relationship Id="rId64" Type="http://schemas.openxmlformats.org/officeDocument/2006/relationships/hyperlink" Target="https://japc.or.jp/" TargetMode="External"/><Relationship Id="rId118" Type="http://schemas.openxmlformats.org/officeDocument/2006/relationships/hyperlink" Target="https://www.cnsf.org/cns/about-cns/" TargetMode="External"/><Relationship Id="rId139" Type="http://schemas.openxmlformats.org/officeDocument/2006/relationships/hyperlink" Target="https://mental.co.jp/" TargetMode="External"/><Relationship Id="rId85" Type="http://schemas.openxmlformats.org/officeDocument/2006/relationships/hyperlink" Target="https://iawmh.org/" TargetMode="External"/><Relationship Id="rId150" Type="http://schemas.openxmlformats.org/officeDocument/2006/relationships/hyperlink" Target="https://www.jabct.org/" TargetMode="External"/><Relationship Id="rId171" Type="http://schemas.openxmlformats.org/officeDocument/2006/relationships/hyperlink" Target="https://www.dggg-online.de/index.html" TargetMode="External"/><Relationship Id="rId192" Type="http://schemas.openxmlformats.org/officeDocument/2006/relationships/hyperlink" Target="https://ep-ad.org/" TargetMode="External"/><Relationship Id="rId12" Type="http://schemas.openxmlformats.org/officeDocument/2006/relationships/hyperlink" Target="https://www.euroaip.eu/" TargetMode="External"/><Relationship Id="rId33" Type="http://schemas.openxmlformats.org/officeDocument/2006/relationships/hyperlink" Target="https://icpweb.org/" TargetMode="External"/><Relationship Id="rId108" Type="http://schemas.openxmlformats.org/officeDocument/2006/relationships/hyperlink" Target="https://www.wpanet.org/" TargetMode="External"/><Relationship Id="rId129" Type="http://schemas.openxmlformats.org/officeDocument/2006/relationships/hyperlink" Target="https://www.fens.org/" TargetMode="External"/><Relationship Id="rId54" Type="http://schemas.openxmlformats.org/officeDocument/2006/relationships/hyperlink" Target="https://psichiatria.it/" TargetMode="External"/><Relationship Id="rId75" Type="http://schemas.openxmlformats.org/officeDocument/2006/relationships/hyperlink" Target="https://isps-us.org/" TargetMode="External"/><Relationship Id="rId96" Type="http://schemas.openxmlformats.org/officeDocument/2006/relationships/hyperlink" Target="https://wfneurology.org/" TargetMode="External"/><Relationship Id="rId140" Type="http://schemas.openxmlformats.org/officeDocument/2006/relationships/hyperlink" Target="https://www.jamhsw.or.jp/" TargetMode="External"/><Relationship Id="rId161" Type="http://schemas.openxmlformats.org/officeDocument/2006/relationships/hyperlink" Target="https://discourseinpsychosis.org/" TargetMode="External"/><Relationship Id="rId182" Type="http://schemas.openxmlformats.org/officeDocument/2006/relationships/hyperlink" Target="https://www.americangeriatrics.org/" TargetMode="External"/><Relationship Id="rId6" Type="http://schemas.openxmlformats.org/officeDocument/2006/relationships/hyperlink" Target="https://abpn.org/" TargetMode="External"/><Relationship Id="rId23" Type="http://schemas.openxmlformats.org/officeDocument/2006/relationships/hyperlink" Target="https://div12.org/" TargetMode="External"/><Relationship Id="rId119" Type="http://schemas.openxmlformats.org/officeDocument/2006/relationships/hyperlink" Target="https://ibro.org/" TargetMode="External"/><Relationship Id="rId44" Type="http://schemas.openxmlformats.org/officeDocument/2006/relationships/hyperlink" Target="https://www.nanonline.org/nan" TargetMode="External"/><Relationship Id="rId65" Type="http://schemas.openxmlformats.org/officeDocument/2006/relationships/hyperlink" Target="http://www.jnpaonline.org/" TargetMode="External"/><Relationship Id="rId86" Type="http://schemas.openxmlformats.org/officeDocument/2006/relationships/hyperlink" Target="https://www.ioptmh.org/" TargetMode="External"/><Relationship Id="rId130" Type="http://schemas.openxmlformats.org/officeDocument/2006/relationships/hyperlink" Target="https://dgn.org/" TargetMode="External"/><Relationship Id="rId151" Type="http://schemas.openxmlformats.org/officeDocument/2006/relationships/hyperlink" Target="http://jact.umin.jp/" TargetMode="External"/><Relationship Id="rId172" Type="http://schemas.openxmlformats.org/officeDocument/2006/relationships/hyperlink" Target="https://www.dggeriatrie.de/" TargetMode="External"/><Relationship Id="rId193" Type="http://schemas.openxmlformats.org/officeDocument/2006/relationships/hyperlink" Target="https://eadc.online/" TargetMode="External"/><Relationship Id="rId13" Type="http://schemas.openxmlformats.org/officeDocument/2006/relationships/hyperlink" Target="https://www.europsyche.org/" TargetMode="External"/><Relationship Id="rId109" Type="http://schemas.openxmlformats.org/officeDocument/2006/relationships/hyperlink" Target="https://www.bps.org.uk/" TargetMode="External"/><Relationship Id="rId34" Type="http://schemas.openxmlformats.org/officeDocument/2006/relationships/hyperlink" Target="https://www.ipa.world/" TargetMode="External"/><Relationship Id="rId55" Type="http://schemas.openxmlformats.org/officeDocument/2006/relationships/hyperlink" Target="https://cpa.ca/" TargetMode="External"/><Relationship Id="rId76" Type="http://schemas.openxmlformats.org/officeDocument/2006/relationships/hyperlink" Target="https://www.ispsitalia.org/" TargetMode="External"/><Relationship Id="rId97" Type="http://schemas.openxmlformats.org/officeDocument/2006/relationships/hyperlink" Target="https://www.icami.org/" TargetMode="External"/><Relationship Id="rId120" Type="http://schemas.openxmlformats.org/officeDocument/2006/relationships/hyperlink" Target="https://aepnya.es/" TargetMode="External"/><Relationship Id="rId141" Type="http://schemas.openxmlformats.org/officeDocument/2006/relationships/hyperlink" Target="https://acnp.org/" TargetMode="External"/><Relationship Id="rId7" Type="http://schemas.openxmlformats.org/officeDocument/2006/relationships/hyperlink" Target="https://inawebsite.org/" TargetMode="External"/><Relationship Id="rId162" Type="http://schemas.openxmlformats.org/officeDocument/2006/relationships/hyperlink" Target="https://www.ipa-online.org/" TargetMode="External"/><Relationship Id="rId183" Type="http://schemas.openxmlformats.org/officeDocument/2006/relationships/hyperlink" Target="https://www.geron.org/" TargetMode="External"/><Relationship Id="rId2" Type="http://schemas.openxmlformats.org/officeDocument/2006/relationships/hyperlink" Target="https://www.anpaonline.org/" TargetMode="External"/><Relationship Id="rId29" Type="http://schemas.openxmlformats.org/officeDocument/2006/relationships/hyperlink" Target="https://www.abct.org/" TargetMode="External"/><Relationship Id="rId24" Type="http://schemas.openxmlformats.org/officeDocument/2006/relationships/hyperlink" Target="https://spsp.org/" TargetMode="External"/><Relationship Id="rId40" Type="http://schemas.openxmlformats.org/officeDocument/2006/relationships/hyperlink" Target="https://abpp.org/" TargetMode="External"/><Relationship Id="rId45" Type="http://schemas.openxmlformats.org/officeDocument/2006/relationships/hyperlink" Target="https://iapsp.org/" TargetMode="External"/><Relationship Id="rId66" Type="http://schemas.openxmlformats.org/officeDocument/2006/relationships/hyperlink" Target="https://www.rounen.org/" TargetMode="External"/><Relationship Id="rId87" Type="http://schemas.openxmlformats.org/officeDocument/2006/relationships/hyperlink" Target="https://www.mentalhealtheurope.org/" TargetMode="External"/><Relationship Id="rId110" Type="http://schemas.openxmlformats.org/officeDocument/2006/relationships/hyperlink" Target="https://www.bna.org.uk/" TargetMode="External"/><Relationship Id="rId115" Type="http://schemas.openxmlformats.org/officeDocument/2006/relationships/hyperlink" Target="https://www.camimh.ca/" TargetMode="External"/><Relationship Id="rId131" Type="http://schemas.openxmlformats.org/officeDocument/2006/relationships/hyperlink" Target="https://nwg-info.de/" TargetMode="External"/><Relationship Id="rId136" Type="http://schemas.openxmlformats.org/officeDocument/2006/relationships/hyperlink" Target="https://bbrfoundation.org/" TargetMode="External"/><Relationship Id="rId157" Type="http://schemas.openxmlformats.org/officeDocument/2006/relationships/hyperlink" Target="https://www.bap.org.uk/" TargetMode="External"/><Relationship Id="rId178" Type="http://schemas.openxmlformats.org/officeDocument/2006/relationships/hyperlink" Target="https://www.segg.es/" TargetMode="External"/><Relationship Id="rId61" Type="http://schemas.openxmlformats.org/officeDocument/2006/relationships/hyperlink" Target="https://jssr.info/" TargetMode="External"/><Relationship Id="rId82" Type="http://schemas.openxmlformats.org/officeDocument/2006/relationships/hyperlink" Target="https://mhanational.org/" TargetMode="External"/><Relationship Id="rId152" Type="http://schemas.openxmlformats.org/officeDocument/2006/relationships/hyperlink" Target="https://psychosisresearch.com/" TargetMode="External"/><Relationship Id="rId173" Type="http://schemas.openxmlformats.org/officeDocument/2006/relationships/hyperlink" Target="https://psicogeriatria.it/" TargetMode="External"/><Relationship Id="rId194" Type="http://schemas.openxmlformats.org/officeDocument/2006/relationships/hyperlink" Target="https://alzheimersprevention.org/" TargetMode="External"/><Relationship Id="rId199" Type="http://schemas.openxmlformats.org/officeDocument/2006/relationships/hyperlink" Target="https://agnp.de/" TargetMode="External"/><Relationship Id="rId203" Type="http://schemas.openxmlformats.org/officeDocument/2006/relationships/hyperlink" Target="https://adolescenthealth.org/" TargetMode="External"/><Relationship Id="rId19" Type="http://schemas.openxmlformats.org/officeDocument/2006/relationships/hyperlink" Target="https://americanpsychotherapy.com/" TargetMode="External"/><Relationship Id="rId14" Type="http://schemas.openxmlformats.org/officeDocument/2006/relationships/hyperlink" Target="https://efpp.org/" TargetMode="External"/><Relationship Id="rId30" Type="http://schemas.openxmlformats.org/officeDocument/2006/relationships/hyperlink" Target="https://contextualscience.org/" TargetMode="External"/><Relationship Id="rId35" Type="http://schemas.openxmlformats.org/officeDocument/2006/relationships/hyperlink" Target="https://sccap53.org/" TargetMode="External"/><Relationship Id="rId56" Type="http://schemas.openxmlformats.org/officeDocument/2006/relationships/hyperlink" Target="https://ampsychfdn.org/" TargetMode="External"/><Relationship Id="rId77" Type="http://schemas.openxmlformats.org/officeDocument/2006/relationships/hyperlink" Target="https://bnpa.org.uk/" TargetMode="External"/><Relationship Id="rId100" Type="http://schemas.openxmlformats.org/officeDocument/2006/relationships/hyperlink" Target="http://www.isnerem.com/" TargetMode="External"/><Relationship Id="rId105" Type="http://schemas.openxmlformats.org/officeDocument/2006/relationships/hyperlink" Target="https://www.apa.org/" TargetMode="External"/><Relationship Id="rId126" Type="http://schemas.openxmlformats.org/officeDocument/2006/relationships/hyperlink" Target="https://fanpse.org/" TargetMode="External"/><Relationship Id="rId147" Type="http://schemas.openxmlformats.org/officeDocument/2006/relationships/hyperlink" Target="https://sepcys.es/" TargetMode="External"/><Relationship Id="rId168" Type="http://schemas.openxmlformats.org/officeDocument/2006/relationships/hyperlink" Target="https://www.eugms.org/home.html" TargetMode="External"/><Relationship Id="rId8" Type="http://schemas.openxmlformats.org/officeDocument/2006/relationships/hyperlink" Target="https://esasnet.eu/" TargetMode="External"/><Relationship Id="rId51" Type="http://schemas.openxmlformats.org/officeDocument/2006/relationships/hyperlink" Target="https://the-ins.org/" TargetMode="External"/><Relationship Id="rId72" Type="http://schemas.openxmlformats.org/officeDocument/2006/relationships/hyperlink" Target="http://www.brainscience-union.jp/" TargetMode="External"/><Relationship Id="rId93" Type="http://schemas.openxmlformats.org/officeDocument/2006/relationships/hyperlink" Target="https://iacapap.org/" TargetMode="External"/><Relationship Id="rId98" Type="http://schemas.openxmlformats.org/officeDocument/2006/relationships/hyperlink" Target="https://www.ean.org/" TargetMode="External"/><Relationship Id="rId121" Type="http://schemas.openxmlformats.org/officeDocument/2006/relationships/hyperlink" Target="https://sepsm.org/" TargetMode="External"/><Relationship Id="rId142" Type="http://schemas.openxmlformats.org/officeDocument/2006/relationships/hyperlink" Target="https://www.ecnp.eu/" TargetMode="External"/><Relationship Id="rId163" Type="http://schemas.openxmlformats.org/officeDocument/2006/relationships/hyperlink" Target="https://www.iagg-er.eu/" TargetMode="External"/><Relationship Id="rId184" Type="http://schemas.openxmlformats.org/officeDocument/2006/relationships/hyperlink" Target="https://www.gapna.org/" TargetMode="External"/><Relationship Id="rId189" Type="http://schemas.openxmlformats.org/officeDocument/2006/relationships/hyperlink" Target="https://www.alzheimersresearchfoundation.com/" TargetMode="External"/><Relationship Id="rId3" Type="http://schemas.openxmlformats.org/officeDocument/2006/relationships/hyperlink" Target="https://www.fndsociety.org/" TargetMode="External"/><Relationship Id="rId25" Type="http://schemas.openxmlformats.org/officeDocument/2006/relationships/hyperlink" Target="https://www.aacap.org/" TargetMode="External"/><Relationship Id="rId46" Type="http://schemas.openxmlformats.org/officeDocument/2006/relationships/hyperlink" Target="https://soblackneuro.org/" TargetMode="External"/><Relationship Id="rId67" Type="http://schemas.openxmlformats.org/officeDocument/2006/relationships/hyperlink" Target="https://www.afpa.asia/" TargetMode="External"/><Relationship Id="rId116" Type="http://schemas.openxmlformats.org/officeDocument/2006/relationships/hyperlink" Target="https://can-acn.org/" TargetMode="External"/><Relationship Id="rId137" Type="http://schemas.openxmlformats.org/officeDocument/2006/relationships/hyperlink" Target="https://nationalepinet.org/" TargetMode="External"/><Relationship Id="rId158" Type="http://schemas.openxmlformats.org/officeDocument/2006/relationships/hyperlink" Target="https://enpp.eu/" TargetMode="External"/><Relationship Id="rId20" Type="http://schemas.openxmlformats.org/officeDocument/2006/relationships/hyperlink" Target="https://societyforpsychotherapy.org/" TargetMode="External"/><Relationship Id="rId41" Type="http://schemas.openxmlformats.org/officeDocument/2006/relationships/hyperlink" Target="https://iaapsy.org/" TargetMode="External"/><Relationship Id="rId62" Type="http://schemas.openxmlformats.org/officeDocument/2006/relationships/hyperlink" Target="https://www.jsnp-org.jp/" TargetMode="External"/><Relationship Id="rId83" Type="http://schemas.openxmlformats.org/officeDocument/2006/relationships/hyperlink" Target="https://www.europsy.net/" TargetMode="External"/><Relationship Id="rId88" Type="http://schemas.openxmlformats.org/officeDocument/2006/relationships/hyperlink" Target="https://www.centreforglobalmentalhealth.org/" TargetMode="External"/><Relationship Id="rId111" Type="http://schemas.openxmlformats.org/officeDocument/2006/relationships/hyperlink" Target="https://myana.org/" TargetMode="External"/><Relationship Id="rId132" Type="http://schemas.openxmlformats.org/officeDocument/2006/relationships/hyperlink" Target="https://www.gnp.de/index-en" TargetMode="External"/><Relationship Id="rId153" Type="http://schemas.openxmlformats.org/officeDocument/2006/relationships/hyperlink" Target="https://www.aan.com/" TargetMode="External"/><Relationship Id="rId174" Type="http://schemas.openxmlformats.org/officeDocument/2006/relationships/hyperlink" Target="https://www.sigg.it/" TargetMode="External"/><Relationship Id="rId179" Type="http://schemas.openxmlformats.org/officeDocument/2006/relationships/hyperlink" Target="https://seegg.es/" TargetMode="External"/><Relationship Id="rId195" Type="http://schemas.openxmlformats.org/officeDocument/2006/relationships/hyperlink" Target="https://sobp.org/" TargetMode="External"/><Relationship Id="rId190" Type="http://schemas.openxmlformats.org/officeDocument/2006/relationships/hyperlink" Target="https://www.alzheimer-forschung.de/" TargetMode="External"/><Relationship Id="rId204" Type="http://schemas.openxmlformats.org/officeDocument/2006/relationships/printerSettings" Target="../printerSettings/printerSettings6.bin"/><Relationship Id="rId15" Type="http://schemas.openxmlformats.org/officeDocument/2006/relationships/hyperlink" Target="https://www.pce-world.org/" TargetMode="External"/><Relationship Id="rId36" Type="http://schemas.openxmlformats.org/officeDocument/2006/relationships/hyperlink" Target="https://apadiv1.org/" TargetMode="External"/><Relationship Id="rId57" Type="http://schemas.openxmlformats.org/officeDocument/2006/relationships/hyperlink" Target="https://ehps.net/" TargetMode="External"/><Relationship Id="rId106" Type="http://schemas.openxmlformats.org/officeDocument/2006/relationships/hyperlink" Target="https://amhp.org.uk/" TargetMode="External"/><Relationship Id="rId127" Type="http://schemas.openxmlformats.org/officeDocument/2006/relationships/hyperlink" Target="https://www.senc.es/" TargetMode="External"/><Relationship Id="rId10" Type="http://schemas.openxmlformats.org/officeDocument/2006/relationships/hyperlink" Target="https://www.psychotherapyresearch.org/" TargetMode="External"/><Relationship Id="rId31" Type="http://schemas.openxmlformats.org/officeDocument/2006/relationships/hyperlink" Target="https://www.eaclipt.org/" TargetMode="External"/><Relationship Id="rId52" Type="http://schemas.openxmlformats.org/officeDocument/2006/relationships/hyperlink" Target="https://sfpeada.fr/" TargetMode="External"/><Relationship Id="rId73" Type="http://schemas.openxmlformats.org/officeDocument/2006/relationships/hyperlink" Target="https://www.ispsuk.org/" TargetMode="External"/><Relationship Id="rId78" Type="http://schemas.openxmlformats.org/officeDocument/2006/relationships/hyperlink" Target="https://www.theabn.org/" TargetMode="External"/><Relationship Id="rId94" Type="http://schemas.openxmlformats.org/officeDocument/2006/relationships/hyperlink" Target="https://www.escap.eu/" TargetMode="External"/><Relationship Id="rId99" Type="http://schemas.openxmlformats.org/officeDocument/2006/relationships/hyperlink" Target="https://www.uems-neuroboard.org/web/" TargetMode="External"/><Relationship Id="rId101" Type="http://schemas.openxmlformats.org/officeDocument/2006/relationships/hyperlink" Target="https://www.ibnsconnect.org/" TargetMode="External"/><Relationship Id="rId122" Type="http://schemas.openxmlformats.org/officeDocument/2006/relationships/hyperlink" Target="https://aen.es/" TargetMode="External"/><Relationship Id="rId143" Type="http://schemas.openxmlformats.org/officeDocument/2006/relationships/hyperlink" Target="https://cinp.org/" TargetMode="External"/><Relationship Id="rId148" Type="http://schemas.openxmlformats.org/officeDocument/2006/relationships/hyperlink" Target="https://jpna.jp/" TargetMode="External"/><Relationship Id="rId164" Type="http://schemas.openxmlformats.org/officeDocument/2006/relationships/hyperlink" Target="https://www.iagg.net/" TargetMode="External"/><Relationship Id="rId169" Type="http://schemas.openxmlformats.org/officeDocument/2006/relationships/hyperlink" Target="https://sf3pa.com/" TargetMode="External"/><Relationship Id="rId185" Type="http://schemas.openxmlformats.org/officeDocument/2006/relationships/hyperlink" Target="https://www.alzinfo.org/" TargetMode="External"/><Relationship Id="rId4" Type="http://schemas.openxmlformats.org/officeDocument/2006/relationships/hyperlink" Target="https://www.psychonomic.org/" TargetMode="External"/><Relationship Id="rId9" Type="http://schemas.openxmlformats.org/officeDocument/2006/relationships/hyperlink" Target="https://www.iagp.com/" TargetMode="External"/><Relationship Id="rId180" Type="http://schemas.openxmlformats.org/officeDocument/2006/relationships/hyperlink" Target="https://www.bgs.org.uk/" TargetMode="External"/><Relationship Id="rId26" Type="http://schemas.openxmlformats.org/officeDocument/2006/relationships/hyperlink" Target="https://theaacn.org/" TargetMode="External"/><Relationship Id="rId47" Type="http://schemas.openxmlformats.org/officeDocument/2006/relationships/hyperlink" Target="https://theabcn.org/" TargetMode="External"/><Relationship Id="rId68" Type="http://schemas.openxmlformats.org/officeDocument/2006/relationships/hyperlink" Target="https://www.jsbp.org/" TargetMode="External"/><Relationship Id="rId89" Type="http://schemas.openxmlformats.org/officeDocument/2006/relationships/hyperlink" Target="https://unitedgmh.org/" TargetMode="External"/><Relationship Id="rId112" Type="http://schemas.openxmlformats.org/officeDocument/2006/relationships/hyperlink" Target="https://cmha.ca/" TargetMode="External"/><Relationship Id="rId133" Type="http://schemas.openxmlformats.org/officeDocument/2006/relationships/hyperlink" Target="https://www.sepypna.com/" TargetMode="External"/><Relationship Id="rId154" Type="http://schemas.openxmlformats.org/officeDocument/2006/relationships/hyperlink" Target="https://www.wapr.org/" TargetMode="External"/><Relationship Id="rId175" Type="http://schemas.openxmlformats.org/officeDocument/2006/relationships/hyperlink" Target="https://www.jpn-geriat-soc.or.jp/index.html" TargetMode="External"/><Relationship Id="rId196" Type="http://schemas.openxmlformats.org/officeDocument/2006/relationships/hyperlink" Target="https://www.afpbn.org/" TargetMode="External"/><Relationship Id="rId200" Type="http://schemas.openxmlformats.org/officeDocument/2006/relationships/hyperlink" Target="https://ccnp.ca/" TargetMode="External"/><Relationship Id="rId16" Type="http://schemas.openxmlformats.org/officeDocument/2006/relationships/hyperlink" Target="https://www.pce-europe.org/" TargetMode="External"/><Relationship Id="rId37" Type="http://schemas.openxmlformats.org/officeDocument/2006/relationships/hyperlink" Target="https://www.psychleaders.org/" TargetMode="External"/><Relationship Id="rId58" Type="http://schemas.openxmlformats.org/officeDocument/2006/relationships/hyperlink" Target="https://www.neuro.it/web/eventi/NEURO/index.cfm" TargetMode="External"/><Relationship Id="rId79" Type="http://schemas.openxmlformats.org/officeDocument/2006/relationships/hyperlink" Target="https://www.anmh.info/" TargetMode="External"/><Relationship Id="rId102" Type="http://schemas.openxmlformats.org/officeDocument/2006/relationships/hyperlink" Target="https://www.sfn.org/" TargetMode="External"/><Relationship Id="rId123" Type="http://schemas.openxmlformats.org/officeDocument/2006/relationships/hyperlink" Target="https://www.anpir.org/" TargetMode="External"/><Relationship Id="rId144" Type="http://schemas.openxmlformats.org/officeDocument/2006/relationships/hyperlink" Target="https://jscnp.org/" TargetMode="External"/><Relationship Id="rId90" Type="http://schemas.openxmlformats.org/officeDocument/2006/relationships/hyperlink" Target="https://www.eagp.com/" TargetMode="External"/><Relationship Id="rId165" Type="http://schemas.openxmlformats.org/officeDocument/2006/relationships/hyperlink" Target="https://canadiangeriatrics.ca/" TargetMode="External"/><Relationship Id="rId186" Type="http://schemas.openxmlformats.org/officeDocument/2006/relationships/hyperlink" Target="https://www.alzdiscovery.org/" TargetMode="External"/><Relationship Id="rId27" Type="http://schemas.openxmlformats.org/officeDocument/2006/relationships/hyperlink" Target="https://www.communitypsychiatry.org/" TargetMode="External"/><Relationship Id="rId48" Type="http://schemas.openxmlformats.org/officeDocument/2006/relationships/hyperlink" Target="https://www.abn-board.com/" TargetMode="External"/><Relationship Id="rId69" Type="http://schemas.openxmlformats.org/officeDocument/2006/relationships/hyperlink" Target="https://www.nisseikyo.or.jp/" TargetMode="External"/><Relationship Id="rId113" Type="http://schemas.openxmlformats.org/officeDocument/2006/relationships/hyperlink" Target="https://www.socpsych.org/" TargetMode="External"/><Relationship Id="rId134" Type="http://schemas.openxmlformats.org/officeDocument/2006/relationships/hyperlink" Target="https://www.cacap-acpea.org/" TargetMode="External"/><Relationship Id="rId80" Type="http://schemas.openxmlformats.org/officeDocument/2006/relationships/hyperlink" Target="https://www.amhca.org/home" TargetMode="External"/><Relationship Id="rId155" Type="http://schemas.openxmlformats.org/officeDocument/2006/relationships/hyperlink" Target="https://www.braincouncil.eu/" TargetMode="External"/><Relationship Id="rId176" Type="http://schemas.openxmlformats.org/officeDocument/2006/relationships/hyperlink" Target="https://www.rounenkango.com/" TargetMode="External"/><Relationship Id="rId197" Type="http://schemas.openxmlformats.org/officeDocument/2006/relationships/hyperlink" Target="https://www.sipb.it/" TargetMode="External"/><Relationship Id="rId201" Type="http://schemas.openxmlformats.org/officeDocument/2006/relationships/hyperlink" Target="https://www.dgbp.de/" TargetMode="External"/><Relationship Id="rId17" Type="http://schemas.openxmlformats.org/officeDocument/2006/relationships/hyperlink" Target="https://iarpp.net/" TargetMode="External"/><Relationship Id="rId38" Type="http://schemas.openxmlformats.org/officeDocument/2006/relationships/hyperlink" Target="https://scn40.org/" TargetMode="External"/><Relationship Id="rId59" Type="http://schemas.openxmlformats.org/officeDocument/2006/relationships/hyperlink" Target="https://aipass.org/" TargetMode="External"/><Relationship Id="rId103" Type="http://schemas.openxmlformats.org/officeDocument/2006/relationships/hyperlink" Target="https://www.cpa-apc.org/" TargetMode="External"/><Relationship Id="rId124" Type="http://schemas.openxmlformats.org/officeDocument/2006/relationships/hyperlink" Target="https://www.sen.es/" TargetMode="External"/><Relationship Id="rId70" Type="http://schemas.openxmlformats.org/officeDocument/2006/relationships/hyperlink" Target="http://www.kaiseikai.jp/index.php" TargetMode="External"/><Relationship Id="rId91" Type="http://schemas.openxmlformats.org/officeDocument/2006/relationships/hyperlink" Target="https://www.acamh.org/" TargetMode="External"/><Relationship Id="rId145" Type="http://schemas.openxmlformats.org/officeDocument/2006/relationships/hyperlink" Target="http://www.szgene.org/" TargetMode="External"/><Relationship Id="rId166" Type="http://schemas.openxmlformats.org/officeDocument/2006/relationships/hyperlink" Target="https://cgna.net/" TargetMode="External"/><Relationship Id="rId187" Type="http://schemas.openxmlformats.org/officeDocument/2006/relationships/hyperlink" Target="https://www.adcs.org/" TargetMode="External"/><Relationship Id="rId1" Type="http://schemas.openxmlformats.org/officeDocument/2006/relationships/hyperlink" Target="https://schizophreniaresearchsociety.org/" TargetMode="External"/><Relationship Id="rId28" Type="http://schemas.openxmlformats.org/officeDocument/2006/relationships/hyperlink" Target="https://www.apna.org/" TargetMode="External"/><Relationship Id="rId49" Type="http://schemas.openxmlformats.org/officeDocument/2006/relationships/hyperlink" Target="https://www.fesn.eu/" TargetMode="External"/><Relationship Id="rId114" Type="http://schemas.openxmlformats.org/officeDocument/2006/relationships/hyperlink" Target="https://www.cagp.ca/" TargetMode="External"/><Relationship Id="rId60" Type="http://schemas.openxmlformats.org/officeDocument/2006/relationships/hyperlink" Target="https://www.jspn.or.jp/" TargetMode="External"/><Relationship Id="rId81" Type="http://schemas.openxmlformats.org/officeDocument/2006/relationships/hyperlink" Target="https://www.ispn-psych.org/" TargetMode="External"/><Relationship Id="rId135" Type="http://schemas.openxmlformats.org/officeDocument/2006/relationships/hyperlink" Target="https://child-adolesc.jp/" TargetMode="External"/><Relationship Id="rId156" Type="http://schemas.openxmlformats.org/officeDocument/2006/relationships/hyperlink" Target="https://wfsbp.org/" TargetMode="External"/><Relationship Id="rId177" Type="http://schemas.openxmlformats.org/officeDocument/2006/relationships/hyperlink" Target="https://www.sepg.es/" TargetMode="External"/><Relationship Id="rId198" Type="http://schemas.openxmlformats.org/officeDocument/2006/relationships/hyperlink" Target="https://sinpf.it/" TargetMode="External"/><Relationship Id="rId202" Type="http://schemas.openxmlformats.org/officeDocument/2006/relationships/hyperlink" Target="https://www.epicanada.org/" TargetMode="External"/><Relationship Id="rId18" Type="http://schemas.openxmlformats.org/officeDocument/2006/relationships/hyperlink" Target="https://www.iabmcp.org/" TargetMode="External"/><Relationship Id="rId39" Type="http://schemas.openxmlformats.org/officeDocument/2006/relationships/hyperlink" Target="https://www.societyofconsultingpsychology.org/" TargetMode="External"/><Relationship Id="rId50" Type="http://schemas.openxmlformats.org/officeDocument/2006/relationships/hyperlink" Target="https://sinpia.eu/" TargetMode="External"/><Relationship Id="rId104" Type="http://schemas.openxmlformats.org/officeDocument/2006/relationships/hyperlink" Target="https://www.dgppn.de/" TargetMode="External"/><Relationship Id="rId125" Type="http://schemas.openxmlformats.org/officeDocument/2006/relationships/hyperlink" Target="https://fneurociencias.org/" TargetMode="External"/><Relationship Id="rId146" Type="http://schemas.openxmlformats.org/officeDocument/2006/relationships/hyperlink" Target="https://www.rcpsych.ac.uk/home" TargetMode="External"/><Relationship Id="rId167" Type="http://schemas.openxmlformats.org/officeDocument/2006/relationships/hyperlink" Target="https://cagacg.ca/" TargetMode="External"/><Relationship Id="rId188" Type="http://schemas.openxmlformats.org/officeDocument/2006/relationships/hyperlink" Target="https://www.alzforum.org/" TargetMode="External"/><Relationship Id="rId71" Type="http://schemas.openxmlformats.org/officeDocument/2006/relationships/hyperlink" Target="http://www.neuropsychology.gr.jp/" TargetMode="External"/><Relationship Id="rId92" Type="http://schemas.openxmlformats.org/officeDocument/2006/relationships/hyperlink" Target="https://www.gamian.e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assr.regione.emilia-romagna.it/" TargetMode="External"/><Relationship Id="rId13" Type="http://schemas.openxmlformats.org/officeDocument/2006/relationships/hyperlink" Target="https://www.england.nhs.uk/medicines-2/commercial-medicines/commercial-medicines-unit/" TargetMode="External"/><Relationship Id="rId18" Type="http://schemas.openxmlformats.org/officeDocument/2006/relationships/hyperlink" Target="https://www.fda.gov/aboutfda/centersoffices/oc/officeofscientificandmedicalprograms/nctr/default.htm" TargetMode="External"/><Relationship Id="rId26" Type="http://schemas.openxmlformats.org/officeDocument/2006/relationships/hyperlink" Target="https://www.aetsa.org/" TargetMode="External"/><Relationship Id="rId3" Type="http://schemas.openxmlformats.org/officeDocument/2006/relationships/hyperlink" Target="https://solidarites-sante.gouv.fr/ministere/acteurs/instances-rattachees/article/ceps-comite-economique-des-produits-de-sante" TargetMode="External"/><Relationship Id="rId21" Type="http://schemas.openxmlformats.org/officeDocument/2006/relationships/hyperlink" Target="https://www.ahrq.gov/research/findings/ta/index.html" TargetMode="External"/><Relationship Id="rId7" Type="http://schemas.openxmlformats.org/officeDocument/2006/relationships/hyperlink" Target="https://www.agenas.it/" TargetMode="External"/><Relationship Id="rId12" Type="http://schemas.openxmlformats.org/officeDocument/2006/relationships/hyperlink" Target="https://www.nihr.ac.uk/" TargetMode="External"/><Relationship Id="rId17" Type="http://schemas.openxmlformats.org/officeDocument/2006/relationships/hyperlink" Target="https://icer.org/" TargetMode="External"/><Relationship Id="rId25" Type="http://schemas.openxmlformats.org/officeDocument/2006/relationships/hyperlink" Target="http://aquas.gencat.cat/ca/inici/" TargetMode="External"/><Relationship Id="rId2" Type="http://schemas.openxmlformats.org/officeDocument/2006/relationships/hyperlink" Target="https://www.rti.org/" TargetMode="External"/><Relationship Id="rId16" Type="http://schemas.openxmlformats.org/officeDocument/2006/relationships/hyperlink" Target="https://www.fda.gov/about-fda/fda-organization/center-drug-evaluation-and-research-cder" TargetMode="External"/><Relationship Id="rId20" Type="http://schemas.openxmlformats.org/officeDocument/2006/relationships/hyperlink" Target="https://www.fda.gov/aboutfda/centersoffices/officeofglobalregulatoryoperationsandpolicy/ora/default.htm" TargetMode="External"/><Relationship Id="rId29" Type="http://schemas.openxmlformats.org/officeDocument/2006/relationships/hyperlink" Target="https://www.cda-amc.ca/" TargetMode="External"/><Relationship Id="rId1" Type="http://schemas.openxmlformats.org/officeDocument/2006/relationships/hyperlink" Target="https://c-path.org/" TargetMode="External"/><Relationship Id="rId6" Type="http://schemas.openxmlformats.org/officeDocument/2006/relationships/hyperlink" Target="https://www.gkv-spitzenverband.de/english/english.jsp" TargetMode="External"/><Relationship Id="rId11" Type="http://schemas.openxmlformats.org/officeDocument/2006/relationships/hyperlink" Target="https://www.nice.org.uk/" TargetMode="External"/><Relationship Id="rId24" Type="http://schemas.openxmlformats.org/officeDocument/2006/relationships/hyperlink" Target="http://www.pdci.ca/about-us/" TargetMode="External"/><Relationship Id="rId5" Type="http://schemas.openxmlformats.org/officeDocument/2006/relationships/hyperlink" Target="https://www.g-ba.de/" TargetMode="External"/><Relationship Id="rId15" Type="http://schemas.openxmlformats.org/officeDocument/2006/relationships/hyperlink" Target="https://www.fda.gov/about-fda/fda-organization/center-biologics-evaluation-and-research-cber" TargetMode="External"/><Relationship Id="rId23" Type="http://schemas.openxmlformats.org/officeDocument/2006/relationships/hyperlink" Target="http://www.pmprb-cepmb.gc.ca/home" TargetMode="External"/><Relationship Id="rId28" Type="http://schemas.openxmlformats.org/officeDocument/2006/relationships/hyperlink" Target="https://www.mhlw.go.jp/stf/shingi/shingi-chuo_128153.html" TargetMode="External"/><Relationship Id="rId10" Type="http://schemas.openxmlformats.org/officeDocument/2006/relationships/hyperlink" Target="https://www.ndph.ox.ac.uk/research/health-services-research-unit-hsru" TargetMode="External"/><Relationship Id="rId19" Type="http://schemas.openxmlformats.org/officeDocument/2006/relationships/hyperlink" Target="https://www.fda.gov/aboutfda/centersoffices/officeofmedicalproductsandtobacco/officeofscienceandhealthcoordination/ucm2018190.htm" TargetMode="External"/><Relationship Id="rId31" Type="http://schemas.openxmlformats.org/officeDocument/2006/relationships/hyperlink" Target="https://www.health-ni.gov.uk/articles/about-medicines-regulatory-group" TargetMode="External"/><Relationship Id="rId4" Type="http://schemas.openxmlformats.org/officeDocument/2006/relationships/hyperlink" Target="https://assurance-maladie.ameli.fr/qui-sommes-nous" TargetMode="External"/><Relationship Id="rId9" Type="http://schemas.openxmlformats.org/officeDocument/2006/relationships/hyperlink" Target="http://www.awmsg.org/" TargetMode="External"/><Relationship Id="rId14" Type="http://schemas.openxmlformats.org/officeDocument/2006/relationships/hyperlink" Target="http://www.scottishmedicines.org.uk/" TargetMode="External"/><Relationship Id="rId22" Type="http://schemas.openxmlformats.org/officeDocument/2006/relationships/hyperlink" Target="https://www.inesss.qc.ca/en/about-us/about-the-institut.html" TargetMode="External"/><Relationship Id="rId27" Type="http://schemas.openxmlformats.org/officeDocument/2006/relationships/hyperlink" Target="https://public4.pagefreezer.com/content/FDA/28-07-2023T13:45/https:/www.fda.gov/about-fda/center-drug-evaluation-and-research-cder/office-biotechnology-products" TargetMode="External"/><Relationship Id="rId30" Type="http://schemas.openxmlformats.org/officeDocument/2006/relationships/hyperlink" Target="https://www.iqwig.de/"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olidarites-sante.gouv.fr/" TargetMode="External"/><Relationship Id="rId18" Type="http://schemas.openxmlformats.org/officeDocument/2006/relationships/hyperlink" Target="http://www.rki.de/EN/Home/homepage_node.html" TargetMode="External"/><Relationship Id="rId26" Type="http://schemas.openxmlformats.org/officeDocument/2006/relationships/hyperlink" Target="https://www.mhlw.go.jp/" TargetMode="External"/><Relationship Id="rId39" Type="http://schemas.openxmlformats.org/officeDocument/2006/relationships/hyperlink" Target="https://www.england.nhs.uk/" TargetMode="External"/><Relationship Id="rId21" Type="http://schemas.openxmlformats.org/officeDocument/2006/relationships/hyperlink" Target="http://www.iss.it/" TargetMode="External"/><Relationship Id="rId34" Type="http://schemas.openxmlformats.org/officeDocument/2006/relationships/hyperlink" Target="https://www.aemps.gob.es/" TargetMode="External"/><Relationship Id="rId42" Type="http://schemas.openxmlformats.org/officeDocument/2006/relationships/hyperlink" Target="http://www.healthscotland.com/" TargetMode="External"/><Relationship Id="rId47" Type="http://schemas.openxmlformats.org/officeDocument/2006/relationships/hyperlink" Target="https://www.nimh.nih.gov/" TargetMode="External"/><Relationship Id="rId50" Type="http://schemas.openxmlformats.org/officeDocument/2006/relationships/hyperlink" Target="http://www.fda.gov/" TargetMode="External"/><Relationship Id="rId55" Type="http://schemas.openxmlformats.org/officeDocument/2006/relationships/hyperlink" Target="https://www.england.nhs.uk/commissioning/spec-services/npc-crg/group-d/neurology/" TargetMode="External"/><Relationship Id="rId7" Type="http://schemas.openxmlformats.org/officeDocument/2006/relationships/hyperlink" Target="https://www.canada.ca/en/health-canada/corporate/about-health-canada/branches-agencies/health-products-food-branch.html" TargetMode="External"/><Relationship Id="rId2" Type="http://schemas.openxmlformats.org/officeDocument/2006/relationships/hyperlink" Target="https://www.who.int/" TargetMode="External"/><Relationship Id="rId16" Type="http://schemas.openxmlformats.org/officeDocument/2006/relationships/hyperlink" Target="https://www.bundesgesundheitsministerium.de/" TargetMode="External"/><Relationship Id="rId29" Type="http://schemas.openxmlformats.org/officeDocument/2006/relationships/hyperlink" Target="https://www.niph.go.jp/" TargetMode="External"/><Relationship Id="rId11" Type="http://schemas.openxmlformats.org/officeDocument/2006/relationships/hyperlink" Target="https://www.canada.ca/en/public-health.html" TargetMode="External"/><Relationship Id="rId24" Type="http://schemas.openxmlformats.org/officeDocument/2006/relationships/hyperlink" Target="https://www.amed.go.jp/index.html" TargetMode="External"/><Relationship Id="rId32" Type="http://schemas.openxmlformats.org/officeDocument/2006/relationships/hyperlink" Target="https://www.sanidad.gob.es/" TargetMode="External"/><Relationship Id="rId37" Type="http://schemas.openxmlformats.org/officeDocument/2006/relationships/hyperlink" Target="http://www.pharmacyregulation.org/" TargetMode="External"/><Relationship Id="rId40" Type="http://schemas.openxmlformats.org/officeDocument/2006/relationships/hyperlink" Target="https://www.nihr.ac.uk/explore-nihr/funding-programmes/health-technology-assessment.htm" TargetMode="External"/><Relationship Id="rId45" Type="http://schemas.openxmlformats.org/officeDocument/2006/relationships/hyperlink" Target="https://www.ahrq.gov/" TargetMode="External"/><Relationship Id="rId53" Type="http://schemas.openxmlformats.org/officeDocument/2006/relationships/hyperlink" Target="http://www.hma.eu/" TargetMode="External"/><Relationship Id="rId58" Type="http://schemas.openxmlformats.org/officeDocument/2006/relationships/printerSettings" Target="../printerSettings/printerSettings7.bin"/><Relationship Id="rId5" Type="http://schemas.openxmlformats.org/officeDocument/2006/relationships/hyperlink" Target="http://www.ema.europa.eu/" TargetMode="External"/><Relationship Id="rId19" Type="http://schemas.openxmlformats.org/officeDocument/2006/relationships/hyperlink" Target="https://www.aifa.gov.it/" TargetMode="External"/><Relationship Id="rId4" Type="http://schemas.openxmlformats.org/officeDocument/2006/relationships/hyperlink" Target="https://www.edqm.eu/en/" TargetMode="External"/><Relationship Id="rId9" Type="http://schemas.openxmlformats.org/officeDocument/2006/relationships/hyperlink" Target="https://cihr-irsc.gc.ca/e/8602.html" TargetMode="External"/><Relationship Id="rId14" Type="http://schemas.openxmlformats.org/officeDocument/2006/relationships/hyperlink" Target="http://ansm.sante.fr/" TargetMode="External"/><Relationship Id="rId22" Type="http://schemas.openxmlformats.org/officeDocument/2006/relationships/hyperlink" Target="https://www8.cao.go.jp/cstp/stmain.html" TargetMode="External"/><Relationship Id="rId27" Type="http://schemas.openxmlformats.org/officeDocument/2006/relationships/hyperlink" Target="https://www.ncnp.go.jp/index.php" TargetMode="External"/><Relationship Id="rId30" Type="http://schemas.openxmlformats.org/officeDocument/2006/relationships/hyperlink" Target="https://www.pmda.go.jp/index.html" TargetMode="External"/><Relationship Id="rId35" Type="http://schemas.openxmlformats.org/officeDocument/2006/relationships/hyperlink" Target="https://www.csic.es/es" TargetMode="External"/><Relationship Id="rId43" Type="http://schemas.openxmlformats.org/officeDocument/2006/relationships/hyperlink" Target="https://phw.nhs.wales/" TargetMode="External"/><Relationship Id="rId48" Type="http://schemas.openxmlformats.org/officeDocument/2006/relationships/hyperlink" Target="https://www.nih.gov/about-nih/who-we-are" TargetMode="External"/><Relationship Id="rId56" Type="http://schemas.openxmlformats.org/officeDocument/2006/relationships/hyperlink" Target="https://www.england.nhs.uk/commissioning/spec-services/npc-crg/group-c/" TargetMode="External"/><Relationship Id="rId8" Type="http://schemas.openxmlformats.org/officeDocument/2006/relationships/hyperlink" Target="https://www.canada.ca/en/health-canada.htm" TargetMode="External"/><Relationship Id="rId51" Type="http://schemas.openxmlformats.org/officeDocument/2006/relationships/hyperlink" Target="https://www.hhs.gov/" TargetMode="External"/><Relationship Id="rId3" Type="http://schemas.openxmlformats.org/officeDocument/2006/relationships/hyperlink" Target="https://www.ema.europa.eu/en/committees/committee-medicinal-products-human-use-chmp" TargetMode="External"/><Relationship Id="rId12" Type="http://schemas.openxmlformats.org/officeDocument/2006/relationships/hyperlink" Target="https://www.has-sante.fr/" TargetMode="External"/><Relationship Id="rId17" Type="http://schemas.openxmlformats.org/officeDocument/2006/relationships/hyperlink" Target="https://www.pei.de/DE/home/home-node.html" TargetMode="External"/><Relationship Id="rId25" Type="http://schemas.openxmlformats.org/officeDocument/2006/relationships/hyperlink" Target="https://www.mext.go.jp/index.htm" TargetMode="External"/><Relationship Id="rId33" Type="http://schemas.openxmlformats.org/officeDocument/2006/relationships/hyperlink" Target="https://www.ciencia.gob.es/" TargetMode="External"/><Relationship Id="rId38" Type="http://schemas.openxmlformats.org/officeDocument/2006/relationships/hyperlink" Target="http://www.mhra.gov.uk/index.htm" TargetMode="External"/><Relationship Id="rId46" Type="http://schemas.openxmlformats.org/officeDocument/2006/relationships/hyperlink" Target="https://www.cdc.gov/index.htm" TargetMode="External"/><Relationship Id="rId20" Type="http://schemas.openxmlformats.org/officeDocument/2006/relationships/hyperlink" Target="http://www.salute.gov.it/portale/home.html" TargetMode="External"/><Relationship Id="rId41" Type="http://schemas.openxmlformats.org/officeDocument/2006/relationships/hyperlink" Target="https://www.publichealth.hscni.net/" TargetMode="External"/><Relationship Id="rId54" Type="http://schemas.openxmlformats.org/officeDocument/2006/relationships/hyperlink" Target="https://www.nia.nih.gov/" TargetMode="External"/><Relationship Id="rId1" Type="http://schemas.openxmlformats.org/officeDocument/2006/relationships/hyperlink" Target="http://www.ahwp.info/index.php/" TargetMode="External"/><Relationship Id="rId6" Type="http://schemas.openxmlformats.org/officeDocument/2006/relationships/hyperlink" Target="https://www.who.int/europe/home?v=welcome" TargetMode="External"/><Relationship Id="rId15" Type="http://schemas.openxmlformats.org/officeDocument/2006/relationships/hyperlink" Target="http://www.bfarm.de/DE/Home/home_node.html" TargetMode="External"/><Relationship Id="rId23" Type="http://schemas.openxmlformats.org/officeDocument/2006/relationships/hyperlink" Target="https://www.jst.go.jp/" TargetMode="External"/><Relationship Id="rId28" Type="http://schemas.openxmlformats.org/officeDocument/2006/relationships/hyperlink" Target="http://www.nihs.go.jp/index-j.html" TargetMode="External"/><Relationship Id="rId36" Type="http://schemas.openxmlformats.org/officeDocument/2006/relationships/hyperlink" Target="https://www.gov.uk/government/organisations/department-of-health-and-social-care" TargetMode="External"/><Relationship Id="rId49" Type="http://schemas.openxmlformats.org/officeDocument/2006/relationships/hyperlink" Target="https://www.samhsa.gov/" TargetMode="External"/><Relationship Id="rId57" Type="http://schemas.openxmlformats.org/officeDocument/2006/relationships/hyperlink" Target="https://www.ecdc.europa.eu/en" TargetMode="External"/><Relationship Id="rId10" Type="http://schemas.openxmlformats.org/officeDocument/2006/relationships/hyperlink" Target="https://mentalhealthcommission.ca/" TargetMode="External"/><Relationship Id="rId31" Type="http://schemas.openxmlformats.org/officeDocument/2006/relationships/hyperlink" Target="https://www.wam.go.jp/hp/saitemap_new-tabid-1197/" TargetMode="External"/><Relationship Id="rId44" Type="http://schemas.openxmlformats.org/officeDocument/2006/relationships/hyperlink" Target="https://www.acf.hhs.gov/" TargetMode="External"/><Relationship Id="rId52" Type="http://schemas.openxmlformats.org/officeDocument/2006/relationships/hyperlink" Target="https://www.va.gov/heal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outlinePr summaryBelow="0" summaryRight="0"/>
  </sheetPr>
  <dimension ref="A1:F96"/>
  <sheetViews>
    <sheetView showGridLines="0" workbookViewId="0">
      <pane xSplit="2" ySplit="6" topLeftCell="C7" activePane="bottomRight" state="frozen"/>
      <selection pane="topRight"/>
      <selection pane="bottomLeft"/>
      <selection pane="bottomRight" activeCell="C7" sqref="C7"/>
    </sheetView>
  </sheetViews>
  <sheetFormatPr defaultColWidth="8.88671875" defaultRowHeight="15" customHeight="1"/>
  <cols>
    <col min="1" max="1" width="6.109375" style="1" customWidth="1"/>
    <col min="2" max="5" width="33" style="1" customWidth="1"/>
    <col min="6" max="6" width="28.88671875" style="1" customWidth="1"/>
    <col min="7" max="16384" width="8.88671875" style="1"/>
  </cols>
  <sheetData>
    <row r="1" spans="1:6" ht="25.35" customHeight="1">
      <c r="A1" s="43" t="s">
        <v>0</v>
      </c>
      <c r="B1" s="43"/>
      <c r="C1" s="43"/>
      <c r="D1" s="43"/>
      <c r="E1" s="43"/>
      <c r="F1" s="43"/>
    </row>
    <row r="2" spans="1:6" ht="15" customHeight="1">
      <c r="A2" s="44" t="s">
        <v>46</v>
      </c>
      <c r="B2" s="44"/>
      <c r="C2" s="44"/>
      <c r="D2" s="44"/>
      <c r="E2" s="44"/>
      <c r="F2" s="44"/>
    </row>
    <row r="3" spans="1:6" ht="15" customHeight="1">
      <c r="A3" s="44"/>
      <c r="B3" s="44"/>
      <c r="C3" s="44"/>
      <c r="D3" s="44"/>
      <c r="E3" s="44"/>
      <c r="F3" s="44"/>
    </row>
    <row r="4" spans="1:6" ht="15" customHeight="1">
      <c r="A4" s="45" t="s">
        <v>47</v>
      </c>
      <c r="B4" s="45"/>
      <c r="C4" s="45"/>
      <c r="D4" s="45"/>
      <c r="E4" s="45"/>
      <c r="F4" s="45"/>
    </row>
    <row r="5" spans="1:6" ht="15.75" customHeight="1">
      <c r="A5" s="46" t="s">
        <v>48</v>
      </c>
      <c r="B5" s="48" t="s">
        <v>91</v>
      </c>
      <c r="C5" s="49"/>
      <c r="D5" s="49"/>
      <c r="E5" s="49"/>
      <c r="F5" s="31"/>
    </row>
    <row r="6" spans="1:6" ht="28.5" customHeight="1">
      <c r="A6" s="47"/>
      <c r="B6" s="32" t="s">
        <v>75</v>
      </c>
      <c r="C6" s="9" t="s">
        <v>76</v>
      </c>
      <c r="D6" s="9" t="s">
        <v>77</v>
      </c>
      <c r="E6" s="9" t="s">
        <v>78</v>
      </c>
      <c r="F6" s="9" t="s">
        <v>49</v>
      </c>
    </row>
    <row r="7" spans="1:6" ht="15.9" customHeight="1">
      <c r="A7" s="33">
        <v>1</v>
      </c>
      <c r="B7" s="14" t="s">
        <v>156</v>
      </c>
      <c r="C7" s="14" t="s">
        <v>206</v>
      </c>
      <c r="D7" s="14" t="s">
        <v>226</v>
      </c>
      <c r="E7" s="14" t="s">
        <v>239</v>
      </c>
      <c r="F7" s="13" t="s">
        <v>79</v>
      </c>
    </row>
    <row r="8" spans="1:6" ht="15.9" customHeight="1">
      <c r="A8" s="33">
        <v>2</v>
      </c>
      <c r="B8" s="14" t="s">
        <v>95</v>
      </c>
      <c r="C8" s="14" t="s">
        <v>5012</v>
      </c>
      <c r="D8" s="14" t="s">
        <v>80</v>
      </c>
      <c r="E8" s="14" t="s">
        <v>237</v>
      </c>
      <c r="F8" s="13" t="s">
        <v>4915</v>
      </c>
    </row>
    <row r="9" spans="1:6" ht="15.9" customHeight="1">
      <c r="A9" s="33">
        <v>3</v>
      </c>
      <c r="B9" s="14" t="s">
        <v>4313</v>
      </c>
      <c r="C9" s="14" t="s">
        <v>194</v>
      </c>
      <c r="D9" s="14" t="s">
        <v>5016</v>
      </c>
      <c r="E9" s="14" t="s">
        <v>230</v>
      </c>
      <c r="F9" s="13" t="s">
        <v>259</v>
      </c>
    </row>
    <row r="10" spans="1:6" ht="15.9" customHeight="1">
      <c r="A10" s="33">
        <v>4</v>
      </c>
      <c r="B10" s="14" t="s">
        <v>157</v>
      </c>
      <c r="C10" s="14" t="s">
        <v>195</v>
      </c>
      <c r="D10" s="14" t="s">
        <v>219</v>
      </c>
      <c r="E10" s="14" t="s">
        <v>5014</v>
      </c>
      <c r="F10" s="13" t="s">
        <v>254</v>
      </c>
    </row>
    <row r="11" spans="1:6" ht="15.9" customHeight="1">
      <c r="A11" s="33">
        <v>5</v>
      </c>
      <c r="B11" s="14" t="s">
        <v>4312</v>
      </c>
      <c r="C11" s="14" t="s">
        <v>182</v>
      </c>
      <c r="D11" s="14" t="s">
        <v>227</v>
      </c>
      <c r="E11" s="14" t="s">
        <v>236</v>
      </c>
      <c r="F11" s="13" t="s">
        <v>244</v>
      </c>
    </row>
    <row r="12" spans="1:6" ht="15.9" customHeight="1">
      <c r="A12" s="33">
        <v>6</v>
      </c>
      <c r="B12" s="14" t="s">
        <v>4311</v>
      </c>
      <c r="C12" s="14" t="s">
        <v>183</v>
      </c>
      <c r="D12" s="14" t="s">
        <v>221</v>
      </c>
      <c r="E12" s="14" t="s">
        <v>233</v>
      </c>
      <c r="F12" s="13" t="s">
        <v>50</v>
      </c>
    </row>
    <row r="13" spans="1:6" ht="15.9" customHeight="1">
      <c r="A13" s="33">
        <v>7</v>
      </c>
      <c r="B13" s="14" t="s">
        <v>4310</v>
      </c>
      <c r="C13" s="14" t="s">
        <v>184</v>
      </c>
      <c r="D13" s="14" t="s">
        <v>222</v>
      </c>
      <c r="E13" s="14" t="s">
        <v>232</v>
      </c>
      <c r="F13" s="13" t="s">
        <v>240</v>
      </c>
    </row>
    <row r="14" spans="1:6" ht="15.9" customHeight="1">
      <c r="A14" s="33">
        <v>8</v>
      </c>
      <c r="B14" s="14" t="s">
        <v>133</v>
      </c>
      <c r="C14" s="14" t="s">
        <v>185</v>
      </c>
      <c r="D14" s="14" t="s">
        <v>225</v>
      </c>
      <c r="E14" s="14" t="s">
        <v>229</v>
      </c>
      <c r="F14" s="13" t="s">
        <v>246</v>
      </c>
    </row>
    <row r="15" spans="1:6" ht="15.9" customHeight="1">
      <c r="A15" s="33">
        <v>9</v>
      </c>
      <c r="B15" s="14" t="s">
        <v>93</v>
      </c>
      <c r="C15" s="14" t="s">
        <v>176</v>
      </c>
      <c r="D15" s="14" t="s">
        <v>5015</v>
      </c>
      <c r="E15" s="14" t="s">
        <v>228</v>
      </c>
      <c r="F15" s="13" t="s">
        <v>260</v>
      </c>
    </row>
    <row r="16" spans="1:6" ht="15.9" customHeight="1">
      <c r="A16" s="33">
        <v>10</v>
      </c>
      <c r="B16" s="14" t="s">
        <v>132</v>
      </c>
      <c r="C16" s="14" t="s">
        <v>174</v>
      </c>
      <c r="D16" s="14" t="s">
        <v>223</v>
      </c>
      <c r="E16" s="14" t="s">
        <v>234</v>
      </c>
      <c r="F16" s="13" t="s">
        <v>261</v>
      </c>
    </row>
    <row r="17" spans="1:6" ht="15.9" customHeight="1">
      <c r="A17" s="33">
        <v>11</v>
      </c>
      <c r="B17" s="14" t="s">
        <v>131</v>
      </c>
      <c r="C17" s="14" t="s">
        <v>199</v>
      </c>
      <c r="D17" s="14" t="s">
        <v>4995</v>
      </c>
      <c r="E17" s="14" t="s">
        <v>231</v>
      </c>
      <c r="F17" s="13" t="s">
        <v>251</v>
      </c>
    </row>
    <row r="18" spans="1:6" ht="15.9" customHeight="1">
      <c r="A18" s="33">
        <v>12</v>
      </c>
      <c r="B18" s="14" t="s">
        <v>134</v>
      </c>
      <c r="C18" s="14" t="s">
        <v>214</v>
      </c>
      <c r="D18" s="14" t="s">
        <v>217</v>
      </c>
      <c r="E18" s="14" t="s">
        <v>235</v>
      </c>
      <c r="F18" s="13" t="s">
        <v>4320</v>
      </c>
    </row>
    <row r="19" spans="1:6" ht="15.9" customHeight="1">
      <c r="A19" s="33">
        <v>13</v>
      </c>
      <c r="B19" s="14" t="s">
        <v>159</v>
      </c>
      <c r="C19" s="14" t="s">
        <v>212</v>
      </c>
      <c r="D19" s="14" t="s">
        <v>218</v>
      </c>
      <c r="E19" s="14" t="s">
        <v>238</v>
      </c>
      <c r="F19" s="13" t="s">
        <v>250</v>
      </c>
    </row>
    <row r="20" spans="1:6" ht="15.9" customHeight="1">
      <c r="A20" s="33">
        <v>14</v>
      </c>
      <c r="B20" s="14" t="s">
        <v>138</v>
      </c>
      <c r="C20" s="14" t="s">
        <v>196</v>
      </c>
      <c r="D20" s="14" t="s">
        <v>215</v>
      </c>
      <c r="E20" s="14"/>
      <c r="F20" s="13" t="s">
        <v>51</v>
      </c>
    </row>
    <row r="21" spans="1:6" ht="15.9" customHeight="1">
      <c r="A21" s="33">
        <v>15</v>
      </c>
      <c r="B21" s="14" t="s">
        <v>149</v>
      </c>
      <c r="C21" s="14" t="s">
        <v>177</v>
      </c>
      <c r="D21" s="14" t="s">
        <v>4318</v>
      </c>
      <c r="E21" s="14"/>
      <c r="F21" s="13" t="s">
        <v>262</v>
      </c>
    </row>
    <row r="22" spans="1:6" ht="15.9" customHeight="1">
      <c r="A22" s="33">
        <v>16</v>
      </c>
      <c r="B22" s="14" t="s">
        <v>106</v>
      </c>
      <c r="C22" s="14" t="s">
        <v>201</v>
      </c>
      <c r="D22" s="14" t="s">
        <v>220</v>
      </c>
      <c r="E22" s="14"/>
      <c r="F22" s="13" t="s">
        <v>255</v>
      </c>
    </row>
    <row r="23" spans="1:6" ht="15.9" customHeight="1">
      <c r="A23" s="33">
        <v>17</v>
      </c>
      <c r="B23" s="14" t="s">
        <v>146</v>
      </c>
      <c r="C23" s="14" t="s">
        <v>197</v>
      </c>
      <c r="D23" s="14" t="s">
        <v>216</v>
      </c>
      <c r="E23" s="14"/>
      <c r="F23" s="13" t="s">
        <v>263</v>
      </c>
    </row>
    <row r="24" spans="1:6" ht="15.9" customHeight="1">
      <c r="A24" s="33">
        <v>18</v>
      </c>
      <c r="B24" s="14" t="s">
        <v>115</v>
      </c>
      <c r="C24" s="14" t="s">
        <v>178</v>
      </c>
      <c r="D24" s="14" t="s">
        <v>224</v>
      </c>
      <c r="E24" s="14"/>
      <c r="F24" s="13" t="s">
        <v>264</v>
      </c>
    </row>
    <row r="25" spans="1:6" ht="15.9" customHeight="1">
      <c r="A25" s="33">
        <v>19</v>
      </c>
      <c r="B25" s="14" t="s">
        <v>101</v>
      </c>
      <c r="C25" s="14" t="s">
        <v>186</v>
      </c>
      <c r="D25" s="14"/>
      <c r="E25" s="14"/>
      <c r="F25" s="13" t="s">
        <v>4319</v>
      </c>
    </row>
    <row r="26" spans="1:6" ht="15.9" customHeight="1">
      <c r="A26" s="33">
        <v>20</v>
      </c>
      <c r="B26" s="14" t="s">
        <v>136</v>
      </c>
      <c r="C26" s="14" t="s">
        <v>4321</v>
      </c>
      <c r="D26" s="14"/>
      <c r="E26" s="14"/>
      <c r="F26" s="13" t="s">
        <v>81</v>
      </c>
    </row>
    <row r="27" spans="1:6" ht="15.9" customHeight="1">
      <c r="A27" s="33">
        <v>21</v>
      </c>
      <c r="B27" s="14" t="s">
        <v>120</v>
      </c>
      <c r="C27" s="14" t="s">
        <v>209</v>
      </c>
      <c r="D27" s="14"/>
      <c r="E27" s="14"/>
      <c r="F27" s="13" t="s">
        <v>73</v>
      </c>
    </row>
    <row r="28" spans="1:6" ht="15.9" customHeight="1">
      <c r="A28" s="33">
        <v>22</v>
      </c>
      <c r="B28" s="14" t="s">
        <v>107</v>
      </c>
      <c r="C28" s="14" t="s">
        <v>187</v>
      </c>
      <c r="D28" s="14"/>
      <c r="E28" s="14"/>
      <c r="F28" s="13" t="s">
        <v>265</v>
      </c>
    </row>
    <row r="29" spans="1:6" ht="15.9" customHeight="1">
      <c r="A29" s="33">
        <v>23</v>
      </c>
      <c r="B29" s="14" t="s">
        <v>112</v>
      </c>
      <c r="C29" s="14" t="s">
        <v>188</v>
      </c>
      <c r="D29" s="14"/>
      <c r="E29" s="14"/>
      <c r="F29" s="13" t="s">
        <v>52</v>
      </c>
    </row>
    <row r="30" spans="1:6" ht="15.9" customHeight="1">
      <c r="A30" s="33">
        <v>24</v>
      </c>
      <c r="B30" s="14" t="s">
        <v>114</v>
      </c>
      <c r="C30" s="14" t="s">
        <v>202</v>
      </c>
      <c r="D30" s="14"/>
      <c r="E30" s="14"/>
      <c r="F30" s="13" t="s">
        <v>82</v>
      </c>
    </row>
    <row r="31" spans="1:6" ht="15.9" customHeight="1">
      <c r="A31" s="33">
        <v>25</v>
      </c>
      <c r="B31" s="14" t="s">
        <v>116</v>
      </c>
      <c r="C31" s="14" t="s">
        <v>5013</v>
      </c>
      <c r="D31" s="14"/>
      <c r="E31" s="14"/>
      <c r="F31" s="13" t="s">
        <v>266</v>
      </c>
    </row>
    <row r="32" spans="1:6" ht="15.9" customHeight="1">
      <c r="A32" s="33">
        <v>26</v>
      </c>
      <c r="B32" s="14" t="s">
        <v>113</v>
      </c>
      <c r="C32" s="14" t="s">
        <v>207</v>
      </c>
      <c r="D32" s="14"/>
      <c r="E32" s="14"/>
      <c r="F32" s="13" t="s">
        <v>267</v>
      </c>
    </row>
    <row r="33" spans="1:6" ht="15.9" customHeight="1">
      <c r="A33" s="33">
        <v>27</v>
      </c>
      <c r="B33" s="14" t="s">
        <v>152</v>
      </c>
      <c r="C33" s="14" t="s">
        <v>4317</v>
      </c>
      <c r="D33" s="14"/>
      <c r="E33" s="14"/>
      <c r="F33" s="13" t="s">
        <v>83</v>
      </c>
    </row>
    <row r="34" spans="1:6" ht="15.9" customHeight="1">
      <c r="A34" s="33">
        <v>28</v>
      </c>
      <c r="B34" s="14" t="s">
        <v>99</v>
      </c>
      <c r="C34" s="14" t="s">
        <v>189</v>
      </c>
      <c r="D34" s="14"/>
      <c r="E34" s="14"/>
      <c r="F34" s="13" t="s">
        <v>268</v>
      </c>
    </row>
    <row r="35" spans="1:6" ht="15.9" customHeight="1">
      <c r="A35" s="33">
        <v>29</v>
      </c>
      <c r="B35" s="14" t="s">
        <v>137</v>
      </c>
      <c r="C35" s="14" t="s">
        <v>198</v>
      </c>
      <c r="D35" s="14"/>
      <c r="E35" s="14"/>
      <c r="F35" s="13" t="s">
        <v>53</v>
      </c>
    </row>
    <row r="36" spans="1:6" ht="15.9" customHeight="1">
      <c r="A36" s="33">
        <v>30</v>
      </c>
      <c r="B36" s="14" t="s">
        <v>142</v>
      </c>
      <c r="C36" s="14" t="s">
        <v>190</v>
      </c>
      <c r="D36" s="14"/>
      <c r="E36" s="14"/>
      <c r="F36" s="13" t="s">
        <v>84</v>
      </c>
    </row>
    <row r="37" spans="1:6" ht="15.9" customHeight="1">
      <c r="A37" s="33">
        <v>31</v>
      </c>
      <c r="B37" s="14" t="s">
        <v>144</v>
      </c>
      <c r="C37" s="14" t="s">
        <v>179</v>
      </c>
      <c r="D37" s="14"/>
      <c r="E37" s="14"/>
      <c r="F37" s="13" t="s">
        <v>54</v>
      </c>
    </row>
    <row r="38" spans="1:6" ht="15.9" customHeight="1">
      <c r="A38" s="33">
        <v>32</v>
      </c>
      <c r="B38" s="14" t="s">
        <v>135</v>
      </c>
      <c r="C38" s="14" t="s">
        <v>203</v>
      </c>
      <c r="D38" s="14"/>
      <c r="E38" s="14"/>
      <c r="F38" s="13" t="s">
        <v>55</v>
      </c>
    </row>
    <row r="39" spans="1:6" ht="15.9" customHeight="1">
      <c r="A39" s="33">
        <v>33</v>
      </c>
      <c r="B39" s="14" t="s">
        <v>4314</v>
      </c>
      <c r="C39" s="14" t="s">
        <v>213</v>
      </c>
      <c r="D39" s="14"/>
      <c r="E39" s="14"/>
      <c r="F39" s="13" t="s">
        <v>85</v>
      </c>
    </row>
    <row r="40" spans="1:6" ht="15.9" customHeight="1">
      <c r="A40" s="33">
        <v>34</v>
      </c>
      <c r="B40" s="14" t="s">
        <v>147</v>
      </c>
      <c r="C40" s="14" t="s">
        <v>208</v>
      </c>
      <c r="D40" s="14"/>
      <c r="E40" s="14"/>
      <c r="F40" s="13" t="s">
        <v>56</v>
      </c>
    </row>
    <row r="41" spans="1:6" ht="15.9" customHeight="1">
      <c r="A41" s="33">
        <v>35</v>
      </c>
      <c r="B41" s="14" t="s">
        <v>111</v>
      </c>
      <c r="C41" s="14" t="s">
        <v>211</v>
      </c>
      <c r="D41" s="14"/>
      <c r="E41" s="14"/>
      <c r="F41" s="13" t="s">
        <v>269</v>
      </c>
    </row>
    <row r="42" spans="1:6" ht="15.9" customHeight="1">
      <c r="A42" s="33">
        <v>36</v>
      </c>
      <c r="B42" s="14" t="s">
        <v>4308</v>
      </c>
      <c r="C42" s="14" t="s">
        <v>191</v>
      </c>
      <c r="D42" s="14"/>
      <c r="E42" s="14"/>
      <c r="F42" s="13" t="s">
        <v>270</v>
      </c>
    </row>
    <row r="43" spans="1:6" ht="15.9" customHeight="1">
      <c r="A43" s="33">
        <v>37</v>
      </c>
      <c r="B43" s="14" t="s">
        <v>100</v>
      </c>
      <c r="C43" s="14" t="s">
        <v>192</v>
      </c>
      <c r="D43" s="14"/>
      <c r="E43" s="14"/>
      <c r="F43" s="13" t="s">
        <v>245</v>
      </c>
    </row>
    <row r="44" spans="1:6" ht="15.9" customHeight="1">
      <c r="A44" s="33">
        <v>38</v>
      </c>
      <c r="B44" s="14" t="s">
        <v>140</v>
      </c>
      <c r="C44" s="14" t="s">
        <v>200</v>
      </c>
      <c r="D44" s="14"/>
      <c r="E44" s="14"/>
      <c r="F44" s="13" t="s">
        <v>86</v>
      </c>
    </row>
    <row r="45" spans="1:6" ht="15.9" customHeight="1">
      <c r="A45" s="33">
        <v>39</v>
      </c>
      <c r="B45" s="14" t="s">
        <v>139</v>
      </c>
      <c r="C45" s="14" t="s">
        <v>205</v>
      </c>
      <c r="D45" s="14"/>
      <c r="E45" s="14"/>
      <c r="F45" s="13" t="s">
        <v>87</v>
      </c>
    </row>
    <row r="46" spans="1:6" ht="15.9" customHeight="1">
      <c r="A46" s="33">
        <v>40</v>
      </c>
      <c r="B46" s="14" t="s">
        <v>130</v>
      </c>
      <c r="C46" s="14" t="s">
        <v>180</v>
      </c>
      <c r="D46" s="14"/>
      <c r="E46" s="14"/>
      <c r="F46" s="13" t="s">
        <v>271</v>
      </c>
    </row>
    <row r="47" spans="1:6" ht="15.9" customHeight="1">
      <c r="A47" s="33">
        <v>41</v>
      </c>
      <c r="B47" s="14" t="s">
        <v>151</v>
      </c>
      <c r="C47" s="14" t="s">
        <v>210</v>
      </c>
      <c r="D47" s="14"/>
      <c r="E47" s="14"/>
      <c r="F47" s="13" t="s">
        <v>57</v>
      </c>
    </row>
    <row r="48" spans="1:6" ht="15.9" customHeight="1">
      <c r="A48" s="33">
        <v>42</v>
      </c>
      <c r="B48" s="14" t="s">
        <v>148</v>
      </c>
      <c r="C48" s="14" t="s">
        <v>181</v>
      </c>
      <c r="D48" s="14"/>
      <c r="E48" s="14"/>
      <c r="F48" s="13" t="s">
        <v>58</v>
      </c>
    </row>
    <row r="49" spans="1:6" ht="15.9" customHeight="1">
      <c r="A49" s="33">
        <v>43</v>
      </c>
      <c r="B49" s="14" t="s">
        <v>161</v>
      </c>
      <c r="C49" s="14" t="s">
        <v>4316</v>
      </c>
      <c r="D49" s="14"/>
      <c r="E49" s="14"/>
      <c r="F49" s="13" t="s">
        <v>59</v>
      </c>
    </row>
    <row r="50" spans="1:6" ht="15.9" customHeight="1">
      <c r="A50" s="33">
        <v>44</v>
      </c>
      <c r="B50" s="14" t="s">
        <v>150</v>
      </c>
      <c r="C50" s="14" t="s">
        <v>4315</v>
      </c>
      <c r="D50" s="14"/>
      <c r="E50" s="14"/>
      <c r="F50" s="13" t="s">
        <v>60</v>
      </c>
    </row>
    <row r="51" spans="1:6" ht="15.9" customHeight="1">
      <c r="A51" s="33">
        <v>45</v>
      </c>
      <c r="B51" s="14" t="s">
        <v>158</v>
      </c>
      <c r="C51" s="14" t="s">
        <v>175</v>
      </c>
      <c r="D51" s="14"/>
      <c r="E51" s="14"/>
      <c r="F51" s="13" t="s">
        <v>272</v>
      </c>
    </row>
    <row r="52" spans="1:6" ht="15.9" customHeight="1">
      <c r="A52" s="33">
        <v>46</v>
      </c>
      <c r="B52" s="14" t="s">
        <v>127</v>
      </c>
      <c r="C52" s="14" t="s">
        <v>193</v>
      </c>
      <c r="D52" s="14"/>
      <c r="E52" s="14"/>
      <c r="F52" s="13" t="s">
        <v>88</v>
      </c>
    </row>
    <row r="53" spans="1:6" ht="15.9" customHeight="1">
      <c r="A53" s="33">
        <v>47</v>
      </c>
      <c r="B53" s="14" t="s">
        <v>117</v>
      </c>
      <c r="C53" s="14" t="s">
        <v>204</v>
      </c>
      <c r="D53" s="14"/>
      <c r="E53" s="14"/>
      <c r="F53" s="13" t="s">
        <v>273</v>
      </c>
    </row>
    <row r="54" spans="1:6" ht="15.9" customHeight="1">
      <c r="A54" s="33">
        <v>48</v>
      </c>
      <c r="B54" s="14" t="s">
        <v>129</v>
      </c>
      <c r="C54" s="14"/>
      <c r="D54" s="14"/>
      <c r="E54" s="14"/>
      <c r="F54" s="13" t="s">
        <v>61</v>
      </c>
    </row>
    <row r="55" spans="1:6" ht="15.9" customHeight="1">
      <c r="A55" s="33">
        <v>49</v>
      </c>
      <c r="B55" s="14" t="s">
        <v>94</v>
      </c>
      <c r="C55" s="14"/>
      <c r="D55" s="14"/>
      <c r="E55" s="14"/>
      <c r="F55" s="13" t="s">
        <v>274</v>
      </c>
    </row>
    <row r="56" spans="1:6" ht="15.9" customHeight="1">
      <c r="A56" s="33">
        <v>50</v>
      </c>
      <c r="B56" s="14" t="s">
        <v>4309</v>
      </c>
      <c r="C56" s="14"/>
      <c r="D56" s="14"/>
      <c r="E56" s="14"/>
      <c r="F56" s="13" t="s">
        <v>275</v>
      </c>
    </row>
    <row r="57" spans="1:6" ht="15.9" customHeight="1">
      <c r="A57" s="33">
        <v>51</v>
      </c>
      <c r="B57" s="14" t="s">
        <v>154</v>
      </c>
      <c r="C57" s="14"/>
      <c r="D57" s="14"/>
      <c r="E57" s="14"/>
      <c r="F57" s="13" t="s">
        <v>276</v>
      </c>
    </row>
    <row r="58" spans="1:6" ht="15.9" customHeight="1">
      <c r="A58" s="33">
        <v>52</v>
      </c>
      <c r="B58" s="14" t="s">
        <v>160</v>
      </c>
      <c r="C58" s="14"/>
      <c r="D58" s="14"/>
      <c r="E58" s="14"/>
      <c r="F58" s="13" t="s">
        <v>277</v>
      </c>
    </row>
    <row r="59" spans="1:6" ht="15.9" customHeight="1">
      <c r="A59" s="33">
        <v>53</v>
      </c>
      <c r="B59" s="14" t="s">
        <v>128</v>
      </c>
      <c r="C59" s="14"/>
      <c r="D59" s="14"/>
      <c r="E59" s="14"/>
      <c r="F59" s="13" t="s">
        <v>62</v>
      </c>
    </row>
    <row r="60" spans="1:6" ht="15.9" customHeight="1">
      <c r="A60" s="33">
        <v>54</v>
      </c>
      <c r="B60" s="14" t="s">
        <v>153</v>
      </c>
      <c r="C60" s="14"/>
      <c r="D60" s="14"/>
      <c r="E60" s="14"/>
      <c r="F60" s="13" t="s">
        <v>248</v>
      </c>
    </row>
    <row r="61" spans="1:6" ht="15.9" customHeight="1">
      <c r="A61" s="33">
        <v>55</v>
      </c>
      <c r="B61" s="14" t="s">
        <v>145</v>
      </c>
      <c r="C61" s="14"/>
      <c r="D61" s="14"/>
      <c r="E61" s="14"/>
      <c r="F61" s="13" t="s">
        <v>63</v>
      </c>
    </row>
    <row r="62" spans="1:6" ht="15.9" customHeight="1">
      <c r="A62" s="33">
        <v>56</v>
      </c>
      <c r="B62" s="14" t="s">
        <v>109</v>
      </c>
      <c r="C62" s="14"/>
      <c r="D62" s="14"/>
      <c r="E62" s="14"/>
      <c r="F62" s="13" t="s">
        <v>253</v>
      </c>
    </row>
    <row r="63" spans="1:6" ht="15.9" customHeight="1">
      <c r="A63" s="33">
        <v>57</v>
      </c>
      <c r="B63" s="14" t="s">
        <v>98</v>
      </c>
      <c r="C63" s="14"/>
      <c r="D63" s="14"/>
      <c r="E63" s="14"/>
      <c r="F63" s="13" t="s">
        <v>256</v>
      </c>
    </row>
    <row r="64" spans="1:6" ht="15.9" customHeight="1">
      <c r="A64" s="33">
        <v>58</v>
      </c>
      <c r="B64" s="14" t="s">
        <v>96</v>
      </c>
      <c r="C64" s="14"/>
      <c r="D64" s="14"/>
      <c r="E64" s="14"/>
      <c r="F64" s="13" t="s">
        <v>64</v>
      </c>
    </row>
    <row r="65" spans="1:6" ht="15.9" customHeight="1">
      <c r="A65" s="33">
        <v>59</v>
      </c>
      <c r="B65" s="14" t="s">
        <v>104</v>
      </c>
      <c r="C65" s="14"/>
      <c r="D65" s="14"/>
      <c r="E65" s="14"/>
      <c r="F65" s="13" t="s">
        <v>65</v>
      </c>
    </row>
    <row r="66" spans="1:6" ht="15.9" customHeight="1">
      <c r="A66" s="33">
        <v>60</v>
      </c>
      <c r="B66" s="14" t="s">
        <v>124</v>
      </c>
      <c r="C66" s="14"/>
      <c r="D66" s="14"/>
      <c r="E66" s="14"/>
      <c r="F66" s="13" t="s">
        <v>66</v>
      </c>
    </row>
    <row r="67" spans="1:6" ht="15.9" customHeight="1">
      <c r="A67" s="33">
        <v>61</v>
      </c>
      <c r="B67" s="14" t="s">
        <v>125</v>
      </c>
      <c r="C67" s="14"/>
      <c r="D67" s="14"/>
      <c r="E67" s="14"/>
      <c r="F67" s="13" t="s">
        <v>247</v>
      </c>
    </row>
    <row r="68" spans="1:6" ht="15.9" customHeight="1">
      <c r="A68" s="33">
        <v>62</v>
      </c>
      <c r="B68" s="14" t="s">
        <v>121</v>
      </c>
      <c r="C68" s="14"/>
      <c r="D68" s="14"/>
      <c r="E68" s="14"/>
      <c r="F68" s="13" t="s">
        <v>67</v>
      </c>
    </row>
    <row r="69" spans="1:6" ht="15.9" customHeight="1">
      <c r="A69" s="33">
        <v>63</v>
      </c>
      <c r="B69" s="14" t="s">
        <v>123</v>
      </c>
      <c r="C69" s="14"/>
      <c r="D69" s="14"/>
      <c r="E69" s="14"/>
      <c r="F69" s="13" t="s">
        <v>68</v>
      </c>
    </row>
    <row r="70" spans="1:6" ht="15.9" customHeight="1">
      <c r="A70" s="33">
        <v>64</v>
      </c>
      <c r="B70" s="14" t="s">
        <v>122</v>
      </c>
      <c r="C70" s="14"/>
      <c r="D70" s="14"/>
      <c r="E70" s="14"/>
      <c r="F70" s="13" t="s">
        <v>243</v>
      </c>
    </row>
    <row r="71" spans="1:6" ht="15.9" customHeight="1">
      <c r="A71" s="33">
        <v>65</v>
      </c>
      <c r="B71" s="14" t="s">
        <v>97</v>
      </c>
      <c r="C71" s="14"/>
      <c r="D71" s="14"/>
      <c r="E71" s="14"/>
      <c r="F71" s="13" t="s">
        <v>89</v>
      </c>
    </row>
    <row r="72" spans="1:6" ht="15.9" customHeight="1">
      <c r="A72" s="33">
        <v>66</v>
      </c>
      <c r="B72" s="14" t="s">
        <v>102</v>
      </c>
      <c r="C72" s="14"/>
      <c r="D72" s="14"/>
      <c r="E72" s="14"/>
      <c r="F72" s="13" t="s">
        <v>278</v>
      </c>
    </row>
    <row r="73" spans="1:6" ht="15.9" customHeight="1">
      <c r="A73" s="33">
        <v>67</v>
      </c>
      <c r="B73" s="14" t="s">
        <v>92</v>
      </c>
      <c r="C73" s="14"/>
      <c r="D73" s="14"/>
      <c r="E73" s="14"/>
      <c r="F73" s="13" t="s">
        <v>257</v>
      </c>
    </row>
    <row r="74" spans="1:6" ht="15.9" customHeight="1">
      <c r="A74" s="33">
        <v>68</v>
      </c>
      <c r="B74" s="14" t="s">
        <v>162</v>
      </c>
      <c r="C74" s="14"/>
      <c r="D74" s="14"/>
      <c r="E74" s="14"/>
      <c r="F74" s="13" t="s">
        <v>258</v>
      </c>
    </row>
    <row r="75" spans="1:6" ht="15.9" customHeight="1">
      <c r="A75" s="33">
        <v>69</v>
      </c>
      <c r="B75" s="14" t="s">
        <v>163</v>
      </c>
      <c r="C75" s="14"/>
      <c r="D75" s="14"/>
      <c r="E75" s="14"/>
      <c r="F75" s="13" t="s">
        <v>69</v>
      </c>
    </row>
    <row r="76" spans="1:6" ht="15.9" customHeight="1">
      <c r="A76" s="33">
        <v>70</v>
      </c>
      <c r="B76" s="14" t="s">
        <v>164</v>
      </c>
      <c r="C76" s="14"/>
      <c r="D76" s="14"/>
      <c r="E76" s="14"/>
      <c r="F76" s="13" t="s">
        <v>70</v>
      </c>
    </row>
    <row r="77" spans="1:6" ht="15.9" customHeight="1">
      <c r="A77" s="33">
        <v>71</v>
      </c>
      <c r="B77" s="14" t="s">
        <v>165</v>
      </c>
      <c r="C77" s="14"/>
      <c r="D77" s="14"/>
      <c r="E77" s="14"/>
      <c r="F77" s="13" t="s">
        <v>279</v>
      </c>
    </row>
    <row r="78" spans="1:6" ht="15.9" customHeight="1">
      <c r="A78" s="33">
        <v>72</v>
      </c>
      <c r="B78" s="14" t="s">
        <v>166</v>
      </c>
      <c r="C78" s="14"/>
      <c r="D78" s="14"/>
      <c r="E78" s="14"/>
      <c r="F78" s="13" t="s">
        <v>71</v>
      </c>
    </row>
    <row r="79" spans="1:6" ht="15.9" customHeight="1">
      <c r="A79" s="33">
        <v>73</v>
      </c>
      <c r="B79" s="14" t="s">
        <v>167</v>
      </c>
      <c r="C79" s="14"/>
      <c r="D79" s="14"/>
      <c r="E79" s="14"/>
      <c r="F79" s="13" t="s">
        <v>280</v>
      </c>
    </row>
    <row r="80" spans="1:6" ht="15.9" customHeight="1">
      <c r="A80" s="33">
        <v>74</v>
      </c>
      <c r="B80" s="14" t="s">
        <v>168</v>
      </c>
      <c r="C80" s="14"/>
      <c r="D80" s="14"/>
      <c r="E80" s="14"/>
      <c r="F80" s="13" t="s">
        <v>249</v>
      </c>
    </row>
    <row r="81" spans="1:6" ht="15.9" customHeight="1">
      <c r="A81" s="33">
        <v>75</v>
      </c>
      <c r="B81" s="14" t="s">
        <v>169</v>
      </c>
      <c r="C81" s="14"/>
      <c r="D81" s="14"/>
      <c r="E81" s="14"/>
      <c r="F81" s="13" t="s">
        <v>74</v>
      </c>
    </row>
    <row r="82" spans="1:6" ht="15.9" customHeight="1">
      <c r="A82" s="33">
        <v>76</v>
      </c>
      <c r="B82" s="14" t="s">
        <v>170</v>
      </c>
      <c r="C82" s="14"/>
      <c r="D82" s="14"/>
      <c r="E82" s="14"/>
      <c r="F82" s="13" t="s">
        <v>241</v>
      </c>
    </row>
    <row r="83" spans="1:6" ht="15.9" customHeight="1">
      <c r="A83" s="33">
        <v>77</v>
      </c>
      <c r="B83" s="14" t="s">
        <v>171</v>
      </c>
      <c r="C83" s="14"/>
      <c r="D83" s="14"/>
      <c r="E83" s="14"/>
      <c r="F83" s="13" t="s">
        <v>242</v>
      </c>
    </row>
    <row r="84" spans="1:6" ht="15.9" customHeight="1">
      <c r="A84" s="33">
        <v>78</v>
      </c>
      <c r="B84" s="14" t="s">
        <v>172</v>
      </c>
      <c r="C84" s="14"/>
      <c r="D84" s="14"/>
      <c r="E84" s="14"/>
      <c r="F84" s="13" t="s">
        <v>90</v>
      </c>
    </row>
    <row r="85" spans="1:6" ht="15.9" customHeight="1">
      <c r="A85" s="33">
        <v>79</v>
      </c>
      <c r="B85" s="14" t="s">
        <v>173</v>
      </c>
      <c r="C85" s="14"/>
      <c r="D85" s="14"/>
      <c r="E85" s="14"/>
      <c r="F85" s="13" t="s">
        <v>281</v>
      </c>
    </row>
    <row r="86" spans="1:6" ht="15.9" customHeight="1">
      <c r="A86" s="33">
        <v>80</v>
      </c>
      <c r="B86" s="14" t="s">
        <v>103</v>
      </c>
      <c r="C86" s="14"/>
      <c r="D86" s="14"/>
      <c r="E86" s="14"/>
      <c r="F86" s="13" t="s">
        <v>282</v>
      </c>
    </row>
    <row r="87" spans="1:6" ht="15.9" customHeight="1">
      <c r="A87" s="33">
        <v>81</v>
      </c>
      <c r="B87" s="14" t="s">
        <v>105</v>
      </c>
      <c r="C87" s="14"/>
      <c r="D87" s="14"/>
      <c r="E87" s="14"/>
      <c r="F87" s="13" t="s">
        <v>283</v>
      </c>
    </row>
    <row r="88" spans="1:6" ht="15.9" customHeight="1">
      <c r="A88" s="33">
        <v>82</v>
      </c>
      <c r="B88" s="14" t="s">
        <v>155</v>
      </c>
      <c r="C88" s="14"/>
      <c r="D88" s="14"/>
      <c r="E88" s="14"/>
      <c r="F88" s="13" t="s">
        <v>284</v>
      </c>
    </row>
    <row r="89" spans="1:6" ht="15.9" customHeight="1">
      <c r="A89" s="33">
        <v>83</v>
      </c>
      <c r="B89" s="14" t="s">
        <v>126</v>
      </c>
      <c r="C89" s="14"/>
      <c r="D89" s="14"/>
      <c r="E89" s="14"/>
      <c r="F89" s="13" t="s">
        <v>285</v>
      </c>
    </row>
    <row r="90" spans="1:6" ht="15.9" customHeight="1">
      <c r="A90" s="33">
        <v>84</v>
      </c>
      <c r="B90" s="14" t="s">
        <v>143</v>
      </c>
      <c r="C90" s="14"/>
      <c r="D90" s="14"/>
      <c r="E90" s="14"/>
      <c r="F90" s="13" t="s">
        <v>286</v>
      </c>
    </row>
    <row r="91" spans="1:6" ht="15.9" customHeight="1">
      <c r="A91" s="33">
        <v>85</v>
      </c>
      <c r="B91" s="14" t="s">
        <v>108</v>
      </c>
      <c r="C91" s="14"/>
      <c r="D91" s="14"/>
      <c r="E91" s="14"/>
      <c r="F91" s="13" t="s">
        <v>287</v>
      </c>
    </row>
    <row r="92" spans="1:6" ht="15.9" customHeight="1">
      <c r="A92" s="33">
        <v>86</v>
      </c>
      <c r="B92" s="14" t="s">
        <v>110</v>
      </c>
      <c r="C92" s="14"/>
      <c r="D92" s="14"/>
      <c r="E92" s="14"/>
      <c r="F92" s="13" t="s">
        <v>291</v>
      </c>
    </row>
    <row r="93" spans="1:6" ht="15.9" customHeight="1">
      <c r="A93" s="33">
        <v>87</v>
      </c>
      <c r="B93" s="14" t="s">
        <v>118</v>
      </c>
      <c r="C93" s="14"/>
      <c r="D93" s="14"/>
      <c r="E93" s="14"/>
      <c r="F93" s="13" t="s">
        <v>288</v>
      </c>
    </row>
    <row r="94" spans="1:6" ht="15.9" customHeight="1">
      <c r="A94" s="33">
        <v>88</v>
      </c>
      <c r="B94" s="14" t="s">
        <v>119</v>
      </c>
      <c r="C94" s="14"/>
      <c r="D94" s="14"/>
      <c r="E94" s="14"/>
      <c r="F94" s="13" t="s">
        <v>289</v>
      </c>
    </row>
    <row r="95" spans="1:6" ht="15.9" customHeight="1">
      <c r="A95" s="33">
        <v>89</v>
      </c>
      <c r="B95" s="14" t="s">
        <v>141</v>
      </c>
      <c r="C95" s="14"/>
      <c r="D95" s="14"/>
      <c r="E95" s="14"/>
      <c r="F95" s="13" t="s">
        <v>290</v>
      </c>
    </row>
    <row r="96" spans="1:6" ht="15.9" customHeight="1">
      <c r="A96" s="33">
        <v>90</v>
      </c>
      <c r="B96" s="14"/>
      <c r="C96" s="14"/>
      <c r="D96" s="14"/>
      <c r="E96" s="14"/>
      <c r="F96" s="13" t="s">
        <v>252</v>
      </c>
    </row>
  </sheetData>
  <autoFilter ref="A6:F96" xr:uid="{00000000-0009-0000-0000-000008000000}"/>
  <sortState xmlns:xlrd2="http://schemas.microsoft.com/office/spreadsheetml/2017/richdata2" ref="D7:D24">
    <sortCondition ref="D7"/>
  </sortState>
  <mergeCells count="5">
    <mergeCell ref="A1:F1"/>
    <mergeCell ref="A2:F3"/>
    <mergeCell ref="A4:F4"/>
    <mergeCell ref="A5:A6"/>
    <mergeCell ref="B5:E5"/>
  </mergeCells>
  <conditionalFormatting sqref="B14:B23">
    <cfRule type="expression" dxfId="8" priority="44">
      <formula>COUNTIFS($B$6:$B997,B14)&gt;1</formula>
    </cfRule>
  </conditionalFormatting>
  <conditionalFormatting sqref="B24:B36">
    <cfRule type="expression" dxfId="7" priority="39">
      <formula>COUNTIFS($B$6:$B1008,B24)&gt;1</formula>
    </cfRule>
  </conditionalFormatting>
  <conditionalFormatting sqref="B37:B48">
    <cfRule type="expression" dxfId="6" priority="34">
      <formula>COUNTIFS($B$6:$B1022,B37)&gt;1</formula>
    </cfRule>
  </conditionalFormatting>
  <conditionalFormatting sqref="B49:B96">
    <cfRule type="expression" dxfId="5" priority="31">
      <formula>COUNTIFS($B$6:$B1035,B49)&gt;1</formula>
    </cfRule>
  </conditionalFormatting>
  <conditionalFormatting sqref="C11:C30 C44:C52">
    <cfRule type="expression" dxfId="4" priority="49">
      <formula>COUNTIFS($C$6:$C995,C11)&gt;1</formula>
    </cfRule>
  </conditionalFormatting>
  <conditionalFormatting sqref="C32:C43">
    <cfRule type="expression" dxfId="3" priority="58">
      <formula>COUNTIFS($C$6:$C1015,C32)&gt;1</formula>
    </cfRule>
  </conditionalFormatting>
  <conditionalFormatting sqref="F8 B8:B13">
    <cfRule type="expression" dxfId="2" priority="54">
      <formula>COUNTIFS($B$6:$B990,B8)&gt;1</formula>
    </cfRule>
  </conditionalFormatting>
  <pageMargins left="0.7" right="0.7" top="0.75" bottom="0.75"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8"/>
  <sheetViews>
    <sheetView showGridLines="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9.109375" defaultRowHeight="13.2"/>
  <cols>
    <col min="1" max="1" width="6.109375" style="34" customWidth="1"/>
    <col min="2" max="2" width="70.88671875" style="34" customWidth="1"/>
    <col min="3" max="4" width="15.5546875" style="34" customWidth="1"/>
    <col min="5" max="5" width="18" style="34" customWidth="1"/>
    <col min="6" max="6" width="44.109375" style="34" customWidth="1"/>
    <col min="7" max="7" width="42.44140625" style="34" bestFit="1" customWidth="1"/>
    <col min="8" max="16384" width="9.109375" style="34"/>
  </cols>
  <sheetData>
    <row r="1" spans="1:7" ht="24.9" customHeight="1">
      <c r="A1" s="67" t="s">
        <v>0</v>
      </c>
      <c r="B1" s="67"/>
      <c r="C1" s="67"/>
      <c r="D1" s="67"/>
      <c r="E1" s="67"/>
      <c r="F1" s="67"/>
      <c r="G1" s="68"/>
    </row>
    <row r="2" spans="1:7" ht="15" customHeight="1">
      <c r="A2" s="69" t="s">
        <v>20</v>
      </c>
      <c r="B2" s="70"/>
      <c r="C2" s="70"/>
      <c r="D2" s="70"/>
      <c r="E2" s="70"/>
      <c r="F2" s="70"/>
      <c r="G2" s="71"/>
    </row>
    <row r="3" spans="1:7" ht="15" customHeight="1">
      <c r="A3" s="72"/>
      <c r="B3" s="73"/>
      <c r="C3" s="73"/>
      <c r="D3" s="73"/>
      <c r="E3" s="73"/>
      <c r="F3" s="73"/>
      <c r="G3" s="74"/>
    </row>
    <row r="4" spans="1:7" ht="28.5" customHeight="1">
      <c r="A4" s="9" t="s">
        <v>2</v>
      </c>
      <c r="B4" s="35" t="s">
        <v>5019</v>
      </c>
      <c r="C4" s="9" t="s">
        <v>12</v>
      </c>
      <c r="D4" s="9" t="s">
        <v>13</v>
      </c>
      <c r="E4" s="35" t="s">
        <v>5020</v>
      </c>
      <c r="F4" s="9" t="s">
        <v>5</v>
      </c>
      <c r="G4" s="35" t="s">
        <v>6</v>
      </c>
    </row>
    <row r="5" spans="1:7" s="39" customFormat="1" ht="15.9" customHeight="1">
      <c r="A5" s="36">
        <v>1</v>
      </c>
      <c r="B5" s="37" t="str">
        <f>HYPERLINK("https://cemh.lbpsb.qc.ca/fr-ca/Promouvoir-la-sant%C3%A9-mentale","Center of Excellence in Mental Health")</f>
        <v>Center of Excellence in Mental Health</v>
      </c>
      <c r="C5" s="38" t="s">
        <v>15</v>
      </c>
      <c r="D5" s="38" t="s">
        <v>24</v>
      </c>
      <c r="E5" s="38" t="s">
        <v>371</v>
      </c>
      <c r="F5" s="37" t="s">
        <v>5021</v>
      </c>
      <c r="G5" s="38"/>
    </row>
    <row r="6" spans="1:7" s="39" customFormat="1" ht="15.9" customHeight="1">
      <c r="A6" s="36">
        <v>2</v>
      </c>
      <c r="B6" s="37" t="str">
        <f>HYPERLINK("https://ceymh-cesmj.ca/fr/","Center of Excellence in Youth Mental Health")</f>
        <v>Center of Excellence in Youth Mental Health</v>
      </c>
      <c r="C6" s="38" t="s">
        <v>15</v>
      </c>
      <c r="D6" s="38" t="s">
        <v>24</v>
      </c>
      <c r="E6" s="38" t="s">
        <v>371</v>
      </c>
      <c r="F6" s="37" t="s">
        <v>5022</v>
      </c>
      <c r="G6" s="38"/>
    </row>
    <row r="7" spans="1:7" s="39" customFormat="1" ht="15.9" customHeight="1">
      <c r="A7" s="36">
        <v>3</v>
      </c>
      <c r="B7" s="37" t="str">
        <f>HYPERLINK("https://www.ontariohealth.ca/about-us/our-programs/clinical-quality-programs/mental-health-addictions","Mental Health and Addictions Centre of Excellence at Ontario Health")</f>
        <v>Mental Health and Addictions Centre of Excellence at Ontario Health</v>
      </c>
      <c r="C7" s="38" t="s">
        <v>15</v>
      </c>
      <c r="D7" s="38" t="s">
        <v>24</v>
      </c>
      <c r="E7" s="38" t="s">
        <v>371</v>
      </c>
      <c r="F7" s="37" t="s">
        <v>5023</v>
      </c>
      <c r="G7" s="38"/>
    </row>
    <row r="8" spans="1:7" s="39" customFormat="1" ht="15.9" customHeight="1">
      <c r="A8" s="36">
        <v>4</v>
      </c>
      <c r="B8" s="37" t="str">
        <f>HYPERLINK("https://www.stjoes.ca/health-services/mental-health-addiction-services/mental-health-services/schizophrenia-community-integration-service-scis-","Schizophrenia and Community Integration Service (SCIS) at St. Joseph’s Healthcare Hamilton")</f>
        <v>Schizophrenia and Community Integration Service (SCIS) at St. Joseph’s Healthcare Hamilton</v>
      </c>
      <c r="C8" s="38" t="s">
        <v>15</v>
      </c>
      <c r="D8" s="38" t="s">
        <v>24</v>
      </c>
      <c r="E8" s="38" t="s">
        <v>371</v>
      </c>
      <c r="F8" s="37" t="s">
        <v>5024</v>
      </c>
      <c r="G8" s="38"/>
    </row>
    <row r="9" spans="1:7" s="39" customFormat="1" ht="15.9" customHeight="1">
      <c r="A9" s="36">
        <v>5</v>
      </c>
      <c r="B9" s="37" t="str">
        <f>HYPERLINK("https://www.theroyal.ca/patient-care-information/clinics-services-programs/schizophrenia-recovery-program","Schizophrenia Recovery Program at The Royal Ottawa Mental Health Centre")</f>
        <v>Schizophrenia Recovery Program at The Royal Ottawa Mental Health Centre</v>
      </c>
      <c r="C9" s="38" t="s">
        <v>15</v>
      </c>
      <c r="D9" s="38" t="s">
        <v>24</v>
      </c>
      <c r="E9" s="38" t="s">
        <v>371</v>
      </c>
      <c r="F9" s="37" t="s">
        <v>5025</v>
      </c>
      <c r="G9" s="38"/>
    </row>
    <row r="10" spans="1:7" s="39" customFormat="1" ht="15.9" customHeight="1">
      <c r="A10" s="36">
        <v>6</v>
      </c>
      <c r="B10" s="37" t="str">
        <f>HYPERLINK("https://www.fondation-fondamental.org/system/files/2023-11/plaquette_ce_schizo_besan%C3%A7on-%202023.pdf","Adult Psychiatry Consultation Service, Besançon University Hospital - Jean Minjoz Hospital")</f>
        <v>Adult Psychiatry Consultation Service, Besançon University Hospital - Jean Minjoz Hospital</v>
      </c>
      <c r="C10" s="38" t="s">
        <v>15</v>
      </c>
      <c r="D10" s="38" t="s">
        <v>292</v>
      </c>
      <c r="E10" s="38" t="s">
        <v>371</v>
      </c>
      <c r="F10" s="37" t="s">
        <v>5026</v>
      </c>
      <c r="G10" s="38"/>
    </row>
    <row r="11" spans="1:7" s="39" customFormat="1" ht="15.9" customHeight="1">
      <c r="A11" s="36">
        <v>7</v>
      </c>
      <c r="B11" s="37" t="str">
        <f>HYPERLINK("https://www.fondation-fondamental.org/system/files/plaquette_ce_schizo_bordeaux-2021.pdf","Adult Psychiatry Department, Charles Perrens Hospital Center")</f>
        <v>Adult Psychiatry Department, Charles Perrens Hospital Center</v>
      </c>
      <c r="C11" s="38" t="s">
        <v>15</v>
      </c>
      <c r="D11" s="38" t="s">
        <v>292</v>
      </c>
      <c r="E11" s="38" t="s">
        <v>371</v>
      </c>
      <c r="F11" s="37" t="s">
        <v>5027</v>
      </c>
      <c r="G11" s="38"/>
    </row>
    <row r="12" spans="1:7" s="39" customFormat="1" ht="15.9" customHeight="1">
      <c r="A12" s="36">
        <v>8</v>
      </c>
      <c r="B12" s="37" t="str">
        <f>HYPERLINK("https://www.fondation-fondamental.org/system/files/plaquette_ce_schizo_versailles-2021.pdf","Adult Psychiatry Department, Versailles Hospital Center, André Mignot Hospital")</f>
        <v>Adult Psychiatry Department, Versailles Hospital Center, André Mignot Hospital</v>
      </c>
      <c r="C12" s="38" t="s">
        <v>15</v>
      </c>
      <c r="D12" s="38" t="s">
        <v>292</v>
      </c>
      <c r="E12" s="38" t="s">
        <v>371</v>
      </c>
      <c r="F12" s="37" t="s">
        <v>5028</v>
      </c>
      <c r="G12" s="38"/>
    </row>
    <row r="13" spans="1:7" s="39" customFormat="1" ht="15.9" customHeight="1">
      <c r="A13" s="36">
        <v>9</v>
      </c>
      <c r="B13" s="37" t="str">
        <f>HYPERLINK("https://www.ghu-paris.fr/fr/actualites/le-cjaad-detection-precoce-et-le-cenpare-pathologies-resistantes-labellises-centres","Assessment Center for Young Adults and Adolescents (C'JAAD)")</f>
        <v>Assessment Center for Young Adults and Adolescents (C'JAAD)</v>
      </c>
      <c r="C13" s="38" t="s">
        <v>15</v>
      </c>
      <c r="D13" s="38" t="s">
        <v>292</v>
      </c>
      <c r="E13" s="38" t="s">
        <v>5029</v>
      </c>
      <c r="F13" s="37" t="s">
        <v>5030</v>
      </c>
      <c r="G13" s="38"/>
    </row>
    <row r="14" spans="1:7" s="39" customFormat="1" ht="15.9" customHeight="1">
      <c r="A14" s="36">
        <v>10</v>
      </c>
      <c r="B14" s="37" t="str">
        <f>HYPERLINK("https://www.ch-lerouvray.fr/actualites/labellisation-de-2-centres-dexcellence-par-linstitut-de-psychiatrie","Center of Therapeutic Excellence for Resistant Schizophrenia, Rouvray Hospital Center")</f>
        <v>Center of Therapeutic Excellence for Resistant Schizophrenia, Rouvray Hospital Center</v>
      </c>
      <c r="C14" s="38" t="s">
        <v>15</v>
      </c>
      <c r="D14" s="38" t="s">
        <v>292</v>
      </c>
      <c r="E14" s="38" t="s">
        <v>5031</v>
      </c>
      <c r="F14" s="37" t="s">
        <v>5032</v>
      </c>
      <c r="G14" s="38"/>
    </row>
    <row r="15" spans="1:7" s="39" customFormat="1" ht="15.9" customHeight="1">
      <c r="A15" s="36">
        <v>11</v>
      </c>
      <c r="B15" s="37" t="str">
        <f>HYPERLINK("https://www.fondation-fondamental.org/system/files/2023-11/plaquette_ce_schizo_toulouse-%202023.pdf","Department of Psychiatry and Medical Psychology, Toulouse University Hospital - Purpan")</f>
        <v>Department of Psychiatry and Medical Psychology, Toulouse University Hospital - Purpan</v>
      </c>
      <c r="C15" s="38" t="s">
        <v>15</v>
      </c>
      <c r="D15" s="38" t="s">
        <v>292</v>
      </c>
      <c r="E15" s="38" t="s">
        <v>371</v>
      </c>
      <c r="F15" s="37" t="s">
        <v>5033</v>
      </c>
      <c r="G15" s="38"/>
    </row>
    <row r="16" spans="1:7" s="39" customFormat="1" ht="15.9" customHeight="1">
      <c r="A16" s="36">
        <v>12</v>
      </c>
      <c r="B16" s="37" t="str">
        <f>HYPERLINK("https://www.chu-caen.fr/centres/camp/#onglet3","Medical-Psychological Reception Center, CHU Caen Normandy")</f>
        <v>Medical-Psychological Reception Center, CHU Caen Normandy</v>
      </c>
      <c r="C16" s="38" t="s">
        <v>15</v>
      </c>
      <c r="D16" s="38" t="s">
        <v>292</v>
      </c>
      <c r="E16" s="38" t="s">
        <v>5034</v>
      </c>
      <c r="F16" s="37" t="s">
        <v>5035</v>
      </c>
      <c r="G16" s="38"/>
    </row>
    <row r="17" spans="1:7" s="39" customFormat="1" ht="15.9" customHeight="1">
      <c r="A17" s="36">
        <v>13</v>
      </c>
      <c r="B17" s="37" t="str">
        <f>HYPERLINK("https://www.fondation-fondamental.org/system/files/2024-01/plaquette_ce_schizo_marseille_01.2024.pdf","Prof. Lançon’s Service, Sainte Marguerite University Hospital")</f>
        <v>Prof. Lançon’s Service, Sainte Marguerite University Hospital</v>
      </c>
      <c r="C17" s="38" t="s">
        <v>15</v>
      </c>
      <c r="D17" s="38" t="s">
        <v>292</v>
      </c>
      <c r="E17" s="38" t="s">
        <v>371</v>
      </c>
      <c r="F17" s="37" t="s">
        <v>5036</v>
      </c>
      <c r="G17" s="38"/>
    </row>
    <row r="18" spans="1:7" s="39" customFormat="1" ht="15.9" customHeight="1">
      <c r="A18" s="36">
        <v>14</v>
      </c>
      <c r="B18" s="37" t="str">
        <f>HYPERLINK("https://www.fondation-fondamental.org/system/files/plaquette_ce_schizo_saint_etienne-2022.pdf","Psychiatry - Expert Center in Schizophrenia, Saint-Etienne University Hospital - Charity Hospital")</f>
        <v>Psychiatry - Expert Center in Schizophrenia, Saint-Etienne University Hospital - Charity Hospital</v>
      </c>
      <c r="C18" s="38" t="s">
        <v>15</v>
      </c>
      <c r="D18" s="38" t="s">
        <v>292</v>
      </c>
      <c r="E18" s="38" t="s">
        <v>371</v>
      </c>
      <c r="F18" s="37" t="s">
        <v>5037</v>
      </c>
      <c r="G18" s="38"/>
    </row>
    <row r="19" spans="1:7" s="39" customFormat="1" ht="15.9" customHeight="1">
      <c r="A19" s="36">
        <v>15</v>
      </c>
      <c r="B19" s="37" t="str">
        <f>HYPERLINK("https://www.fondation-fondamental.org/system/files/plaquette_ce_schizo_colombes-2021.pdf","Psychiatry and Addiction Department, Louis Mourier Hospital")</f>
        <v>Psychiatry and Addiction Department, Louis Mourier Hospital</v>
      </c>
      <c r="C19" s="38" t="s">
        <v>15</v>
      </c>
      <c r="D19" s="38" t="s">
        <v>292</v>
      </c>
      <c r="E19" s="38" t="s">
        <v>371</v>
      </c>
      <c r="F19" s="37" t="s">
        <v>5038</v>
      </c>
      <c r="G19" s="38"/>
    </row>
    <row r="20" spans="1:7" s="39" customFormat="1" ht="15.9" customHeight="1">
      <c r="A20" s="36">
        <v>16</v>
      </c>
      <c r="B20" s="37" t="str">
        <f>HYPERLINK("https://www.fondation-fondamental.org/system/files/plaquette_ce_schizo_creteil-2021.pdf","Psychiatry Center, Albert Chenevier Hospital - Créteil")</f>
        <v>Psychiatry Center, Albert Chenevier Hospital - Créteil</v>
      </c>
      <c r="C20" s="38" t="s">
        <v>15</v>
      </c>
      <c r="D20" s="38" t="s">
        <v>292</v>
      </c>
      <c r="E20" s="38" t="s">
        <v>371</v>
      </c>
      <c r="F20" s="37" t="s">
        <v>5039</v>
      </c>
      <c r="G20" s="38"/>
    </row>
    <row r="21" spans="1:7" s="39" customFormat="1" ht="15.9" customHeight="1">
      <c r="A21" s="36">
        <v>17</v>
      </c>
      <c r="B21" s="37" t="str">
        <f>HYPERLINK("https://www.fondation-fondamental.org/system/files/plaquette_ce_schizo_strasbourg-2021.pdf","Psychiatry Center, Strasbourg University Hospital")</f>
        <v>Psychiatry Center, Strasbourg University Hospital</v>
      </c>
      <c r="C21" s="38" t="s">
        <v>15</v>
      </c>
      <c r="D21" s="38" t="s">
        <v>292</v>
      </c>
      <c r="E21" s="38" t="s">
        <v>371</v>
      </c>
      <c r="F21" s="37" t="s">
        <v>5040</v>
      </c>
      <c r="G21" s="38"/>
    </row>
    <row r="22" spans="1:7" s="39" customFormat="1" ht="15.9" customHeight="1">
      <c r="A22" s="36">
        <v>18</v>
      </c>
      <c r="B22" s="37" t="str">
        <f>HYPERLINK("https://www.fondation-fondamental.org/system/files/plaquette_ce_schizo_clermont-2021.pdf","Psychiatry Department B, Clermont-Ferrand University Hospital")</f>
        <v>Psychiatry Department B, Clermont-Ferrand University Hospital</v>
      </c>
      <c r="C22" s="38" t="s">
        <v>15</v>
      </c>
      <c r="D22" s="38" t="s">
        <v>292</v>
      </c>
      <c r="E22" s="38" t="s">
        <v>371</v>
      </c>
      <c r="F22" s="37" t="s">
        <v>5041</v>
      </c>
      <c r="G22" s="38"/>
    </row>
    <row r="23" spans="1:7" s="39" customFormat="1" ht="15.9" customHeight="1">
      <c r="A23" s="36">
        <v>19</v>
      </c>
      <c r="B23" s="37" t="str">
        <f>HYPERLINK("https://centre-ressource-rehabilitation.org/centre-esquirol","Psychosocial Rehabilitation Center, CHU Caen Normandy")</f>
        <v>Psychosocial Rehabilitation Center, CHU Caen Normandy</v>
      </c>
      <c r="C23" s="38" t="s">
        <v>15</v>
      </c>
      <c r="D23" s="38" t="s">
        <v>292</v>
      </c>
      <c r="E23" s="38" t="s">
        <v>371</v>
      </c>
      <c r="F23" s="37" t="s">
        <v>5042</v>
      </c>
      <c r="G23" s="38"/>
    </row>
    <row r="24" spans="1:7" s="39" customFormat="1" ht="15.9" customHeight="1">
      <c r="A24" s="36">
        <v>20</v>
      </c>
      <c r="B24" s="37" t="str">
        <f>HYPERLINK("https://www.fondation-fondamental.org/system/files/plaquette_ce_schizo_montpellier-2021.pdf","University Adult Psychiatry Department, La Colombière Hospital")</f>
        <v>University Adult Psychiatry Department, La Colombière Hospital</v>
      </c>
      <c r="C24" s="38" t="s">
        <v>15</v>
      </c>
      <c r="D24" s="38" t="s">
        <v>292</v>
      </c>
      <c r="E24" s="38" t="s">
        <v>371</v>
      </c>
      <c r="F24" s="37" t="s">
        <v>5043</v>
      </c>
      <c r="G24" s="38"/>
    </row>
    <row r="25" spans="1:7" s="39" customFormat="1" ht="15.9" customHeight="1">
      <c r="A25" s="36">
        <v>21</v>
      </c>
      <c r="B25" s="37" t="str">
        <f>HYPERLINK("https://www.fondation-fondamental.org/system/files/plaquette_ce_schizo_grenoble_12.2022_3_1.pdf","University Department of Psychiatry, Outpatient Mental Health Center, CHU Grenoble Alpes")</f>
        <v>University Department of Psychiatry, Outpatient Mental Health Center, CHU Grenoble Alpes</v>
      </c>
      <c r="C25" s="38" t="s">
        <v>15</v>
      </c>
      <c r="D25" s="38" t="s">
        <v>292</v>
      </c>
      <c r="E25" s="38" t="s">
        <v>371</v>
      </c>
      <c r="F25" s="37" t="s">
        <v>5044</v>
      </c>
      <c r="G25" s="38"/>
    </row>
    <row r="26" spans="1:7" s="39" customFormat="1" ht="15.9" customHeight="1">
      <c r="A26" s="36">
        <v>22</v>
      </c>
      <c r="B26" s="37" t="str">
        <f>HYPERLINK("https://www.fondation-fondamental.org/system/files/2024-10/plaquette_ce_schizo_bron-Le%20Vinatier%20%E2%80%93%20Psychiatrie%20Universitaire%20Lyon%20M%C3%A9tropole.pdf","University Service for Psychiatric Disorders, Le Vinatier – University Psychiatry Lyon Métropole")</f>
        <v>University Service for Psychiatric Disorders, Le Vinatier – University Psychiatry Lyon Métropole</v>
      </c>
      <c r="C26" s="38" t="s">
        <v>15</v>
      </c>
      <c r="D26" s="38" t="s">
        <v>292</v>
      </c>
      <c r="E26" s="38" t="s">
        <v>371</v>
      </c>
      <c r="F26" s="37" t="s">
        <v>5045</v>
      </c>
      <c r="G26" s="38"/>
    </row>
    <row r="27" spans="1:7" s="39" customFormat="1" ht="15.9" customHeight="1">
      <c r="A27" s="36">
        <v>23</v>
      </c>
      <c r="B27" s="37" t="str">
        <f>HYPERLINK("https://www.uke.de/kliniken-institute/kliniken/psychiatrie-und-psychotherapie/unterstuetzung-und-spende/schizophrenie-forschung.html","Clinic and Polyclinic for Psychiatry and Psychotherapy at University Medical Center Hamburg-Eppendorf")</f>
        <v>Clinic and Polyclinic for Psychiatry and Psychotherapy at University Medical Center Hamburg-Eppendorf</v>
      </c>
      <c r="C27" s="38" t="s">
        <v>15</v>
      </c>
      <c r="D27" s="38" t="s">
        <v>295</v>
      </c>
      <c r="E27" s="38" t="s">
        <v>371</v>
      </c>
      <c r="F27" s="37" t="s">
        <v>5046</v>
      </c>
      <c r="G27" s="38"/>
    </row>
    <row r="28" spans="1:7" s="39" customFormat="1" ht="15.9" customHeight="1">
      <c r="A28" s="36">
        <v>24</v>
      </c>
      <c r="B28" s="37" t="str">
        <f>HYPERLINK("https://www.lmu-klinikum.de/psychiatrie-und-psychotherapie","Clinic for Psychiatry and Psychotherapy at the LMU Munich Hospital")</f>
        <v>Clinic for Psychiatry and Psychotherapy at the LMU Munich Hospital</v>
      </c>
      <c r="C28" s="38" t="s">
        <v>15</v>
      </c>
      <c r="D28" s="38" t="s">
        <v>295</v>
      </c>
      <c r="E28" s="38" t="s">
        <v>5047</v>
      </c>
      <c r="F28" s="37" t="s">
        <v>5048</v>
      </c>
      <c r="G28" s="38"/>
    </row>
    <row r="29" spans="1:7" s="39" customFormat="1" ht="15.9" customHeight="1">
      <c r="A29" s="36">
        <v>25</v>
      </c>
      <c r="B29" s="37" t="str">
        <f>HYPERLINK("https://www.kns.kompetenznetz-schizophrenie.info/drupal/files/Newsletter_KNS_14.pdf","The Schizophrenia Competence Network at Psychiatric Clinic of the Heinrich Heine University")</f>
        <v>The Schizophrenia Competence Network at Psychiatric Clinic of the Heinrich Heine University</v>
      </c>
      <c r="C29" s="38" t="s">
        <v>15</v>
      </c>
      <c r="D29" s="38" t="s">
        <v>295</v>
      </c>
      <c r="E29" s="38" t="s">
        <v>371</v>
      </c>
      <c r="F29" s="37" t="s">
        <v>5049</v>
      </c>
      <c r="G29" s="38"/>
    </row>
    <row r="30" spans="1:7" s="39" customFormat="1" ht="15.9" customHeight="1">
      <c r="A30" s="36">
        <v>26</v>
      </c>
      <c r="B30" s="37" t="str">
        <f>HYPERLINK("https://www.asst-santipaolocarlo.it/psichiatria-51-/-52","Complex Structure of Psychiatry 51-52 at San Paolo Hospital")</f>
        <v>Complex Structure of Psychiatry 51-52 at San Paolo Hospital</v>
      </c>
      <c r="C30" s="38" t="s">
        <v>15</v>
      </c>
      <c r="D30" s="38" t="s">
        <v>16</v>
      </c>
      <c r="E30" s="38" t="s">
        <v>4952</v>
      </c>
      <c r="F30" s="37" t="s">
        <v>5050</v>
      </c>
      <c r="G30" s="38"/>
    </row>
    <row r="31" spans="1:7" s="39" customFormat="1" ht="15.9" customHeight="1">
      <c r="A31" s="36">
        <v>27</v>
      </c>
      <c r="B31" s="37" t="str">
        <f>HYPERLINK("https://www.policlinico.mi.it/reparti/61/psichiatria","Complex Structure of Psychiatry at IRCCS Ca' Granda Hospital Maggiore Polyclinic")</f>
        <v>Complex Structure of Psychiatry at IRCCS Ca' Granda Hospital Maggiore Polyclinic</v>
      </c>
      <c r="C31" s="38" t="s">
        <v>15</v>
      </c>
      <c r="D31" s="38" t="s">
        <v>16</v>
      </c>
      <c r="E31" s="38" t="s">
        <v>5051</v>
      </c>
      <c r="F31" s="37" t="s">
        <v>5052</v>
      </c>
      <c r="G31" s="38"/>
    </row>
    <row r="32" spans="1:7" s="39" customFormat="1" ht="15.9" customHeight="1">
      <c r="A32" s="36">
        <v>28</v>
      </c>
      <c r="B32" s="37" t="str">
        <f>HYPERLINK("https://www.ospedaleniguarda.it/strutture/info/psichiatria-1","Niguarda Hospital")</f>
        <v>Niguarda Hospital</v>
      </c>
      <c r="C32" s="38" t="s">
        <v>15</v>
      </c>
      <c r="D32" s="38" t="s">
        <v>16</v>
      </c>
      <c r="E32" s="38" t="s">
        <v>5053</v>
      </c>
      <c r="F32" s="37" t="s">
        <v>5054</v>
      </c>
      <c r="G32" s="38"/>
    </row>
    <row r="33" spans="1:7" s="39" customFormat="1" ht="15.9" customHeight="1">
      <c r="A33" s="36">
        <v>29</v>
      </c>
      <c r="B33" s="37" t="str">
        <f>HYPERLINK("https://neomesia.com/casa-cima","Psychiatric Rehabilitation Therapeutic Community at Casa Cima")</f>
        <v>Psychiatric Rehabilitation Therapeutic Community at Casa Cima</v>
      </c>
      <c r="C33" s="38" t="s">
        <v>15</v>
      </c>
      <c r="D33" s="38" t="s">
        <v>16</v>
      </c>
      <c r="E33" s="38" t="s">
        <v>371</v>
      </c>
      <c r="F33" s="37" t="s">
        <v>5055</v>
      </c>
      <c r="G33" s="38"/>
    </row>
    <row r="34" spans="1:7" s="39" customFormat="1" ht="15.9" customHeight="1">
      <c r="A34" s="36">
        <v>30</v>
      </c>
      <c r="B34" s="37" t="str">
        <f>HYPERLINK("https://www.casadicuralebetulle.it/aree-terapeutiche/psichiatria/","Psychiatry at Le Betulle Nursing Home")</f>
        <v>Psychiatry at Le Betulle Nursing Home</v>
      </c>
      <c r="C34" s="38" t="s">
        <v>15</v>
      </c>
      <c r="D34" s="38" t="s">
        <v>16</v>
      </c>
      <c r="E34" s="38" t="s">
        <v>3707</v>
      </c>
      <c r="F34" s="37" t="s">
        <v>5056</v>
      </c>
      <c r="G34" s="38"/>
    </row>
    <row r="35" spans="1:7" s="39" customFormat="1" ht="15.9" customHeight="1">
      <c r="A35" s="36">
        <v>31</v>
      </c>
      <c r="B35" s="37" t="str">
        <f>HYPERLINK("https://www.sancamillomilano.com/prestazioni/visita-psichiatrica/","Psychiatry at San Camillo Nursing Home")</f>
        <v>Psychiatry at San Camillo Nursing Home</v>
      </c>
      <c r="C35" s="38" t="s">
        <v>15</v>
      </c>
      <c r="D35" s="38" t="s">
        <v>16</v>
      </c>
      <c r="E35" s="38" t="s">
        <v>5053</v>
      </c>
      <c r="F35" s="37" t="s">
        <v>5057</v>
      </c>
      <c r="G35" s="38"/>
    </row>
    <row r="36" spans="1:7" s="39" customFormat="1" ht="15.9" customHeight="1">
      <c r="A36" s="36">
        <v>32</v>
      </c>
      <c r="B36" s="37" t="str">
        <f>HYPERLINK("https://www.asst-fbf-sacco.it/reparti-e-servizi/info/psichiatria-1","Psychiatry Department, ASST Fatebenefratelli Sacco")</f>
        <v>Psychiatry Department, ASST Fatebenefratelli Sacco</v>
      </c>
      <c r="C36" s="38" t="s">
        <v>15</v>
      </c>
      <c r="D36" s="38" t="s">
        <v>16</v>
      </c>
      <c r="E36" s="38" t="s">
        <v>371</v>
      </c>
      <c r="F36" s="37" t="s">
        <v>5058</v>
      </c>
      <c r="G36" s="38"/>
    </row>
    <row r="37" spans="1:7" s="39" customFormat="1" ht="15.9" customHeight="1">
      <c r="A37" s="36">
        <v>33</v>
      </c>
      <c r="B37" s="37" t="str">
        <f>HYPERLINK("https://www.hsr.it/strutture/san-raffaele-turro/centro-disturbi-psicotici","San Raffaele Psychotic Disorders Center")</f>
        <v>San Raffaele Psychotic Disorders Center</v>
      </c>
      <c r="C37" s="38" t="s">
        <v>15</v>
      </c>
      <c r="D37" s="38" t="s">
        <v>16</v>
      </c>
      <c r="E37" s="38" t="s">
        <v>5059</v>
      </c>
      <c r="F37" s="37" t="s">
        <v>5060</v>
      </c>
      <c r="G37" s="38"/>
    </row>
    <row r="38" spans="1:7" s="39" customFormat="1" ht="15.9" customHeight="1">
      <c r="A38" s="36">
        <v>34</v>
      </c>
      <c r="B38" s="37" t="str">
        <f>HYPERLINK("https://www.ncnp.go.jp/hospital/guide/sd/edics.html","Early Diagnosis and Treatment Center for Schizophrenia (EDICS)")</f>
        <v>Early Diagnosis and Treatment Center for Schizophrenia (EDICS)</v>
      </c>
      <c r="C38" s="38" t="s">
        <v>15</v>
      </c>
      <c r="D38" s="38" t="s">
        <v>316</v>
      </c>
      <c r="E38" s="38" t="s">
        <v>371</v>
      </c>
      <c r="F38" s="37" t="s">
        <v>5061</v>
      </c>
      <c r="G38" s="38"/>
    </row>
    <row r="39" spans="1:7" s="39" customFormat="1" ht="15.9" customHeight="1">
      <c r="A39" s="36">
        <v>35</v>
      </c>
      <c r="B39" s="37" t="str">
        <f>HYPERLINK("https://cipsmalaga.com/tratamiento-esquizofrenia-psicosis-malaga/","CIPS Málaga (Comprehensive Psychiatric Clinical Center)")</f>
        <v>CIPS Málaga (Comprehensive Psychiatric Clinical Center)</v>
      </c>
      <c r="C39" s="38" t="s">
        <v>15</v>
      </c>
      <c r="D39" s="38" t="s">
        <v>311</v>
      </c>
      <c r="E39" s="38" t="s">
        <v>371</v>
      </c>
      <c r="F39" s="37" t="s">
        <v>5062</v>
      </c>
      <c r="G39" s="38"/>
    </row>
    <row r="40" spans="1:7" s="39" customFormat="1" ht="15.9" customHeight="1">
      <c r="A40" s="36">
        <v>36</v>
      </c>
      <c r="B40" s="37" t="str">
        <f>HYPERLINK("https://www.fjd.es/es/cartera-servicios/psiquiatria-psicologia-clinica","Psychiatry and Clinical Psychology Service, Jiménez Díaz Foundation University Hospital")</f>
        <v>Psychiatry and Clinical Psychology Service, Jiménez Díaz Foundation University Hospital</v>
      </c>
      <c r="C40" s="38" t="s">
        <v>15</v>
      </c>
      <c r="D40" s="38" t="s">
        <v>311</v>
      </c>
      <c r="E40" s="38" t="s">
        <v>5063</v>
      </c>
      <c r="F40" s="37" t="s">
        <v>5064</v>
      </c>
      <c r="G40" s="38"/>
    </row>
    <row r="41" spans="1:7" s="39" customFormat="1" ht="15.9" customHeight="1">
      <c r="A41" s="36">
        <v>37</v>
      </c>
      <c r="B41" s="37" t="str">
        <f>HYPERLINK("https://www.comunidad.madrid/hospital/12octubre/noticia/tratamiento-esquizofrenia-hospital-12-octubre-premio-best-in-class","Psychiatry Service at Hospital 12 de Octubre")</f>
        <v>Psychiatry Service at Hospital 12 de Octubre</v>
      </c>
      <c r="C41" s="38" t="s">
        <v>15</v>
      </c>
      <c r="D41" s="38" t="s">
        <v>311</v>
      </c>
      <c r="E41" s="38" t="s">
        <v>5065</v>
      </c>
      <c r="F41" s="37" t="s">
        <v>5066</v>
      </c>
      <c r="G41" s="38"/>
    </row>
    <row r="42" spans="1:7" s="39" customFormat="1" ht="15.9" customHeight="1">
      <c r="A42" s="36">
        <v>38</v>
      </c>
      <c r="B42" s="37" t="str">
        <f>HYPERLINK("https://www.clinicbarcelona.org/unidad/esquizofrenia","Schizophrenia Unit at Hospital Clinic Barcelona (BCSU-Barcelona Clínic Schizophrenia Unido)")</f>
        <v>Schizophrenia Unit at Hospital Clinic Barcelona (BCSU-Barcelona Clínic Schizophrenia Unido)</v>
      </c>
      <c r="C42" s="38" t="s">
        <v>15</v>
      </c>
      <c r="D42" s="38" t="s">
        <v>311</v>
      </c>
      <c r="E42" s="38" t="s">
        <v>371</v>
      </c>
      <c r="F42" s="37" t="s">
        <v>5067</v>
      </c>
      <c r="G42" s="38"/>
    </row>
    <row r="43" spans="1:7" s="39" customFormat="1" ht="15.9" customHeight="1">
      <c r="A43" s="36">
        <v>39</v>
      </c>
      <c r="B43" s="37" t="str">
        <f>HYPERLINK("https://www.comunidad.madrid/hospital/gregoriomaranon/profesionales/instituto-psiquiatria-salud-mental/psiquiatria-nino-adolescente","The Gregorio Marañón Institute of Psychiatry and Mental Health")</f>
        <v>The Gregorio Marañón Institute of Psychiatry and Mental Health</v>
      </c>
      <c r="C43" s="38" t="s">
        <v>15</v>
      </c>
      <c r="D43" s="38" t="s">
        <v>311</v>
      </c>
      <c r="E43" s="38" t="s">
        <v>371</v>
      </c>
      <c r="F43" s="37" t="s">
        <v>5068</v>
      </c>
      <c r="G43" s="38"/>
    </row>
    <row r="44" spans="1:7" s="39" customFormat="1" ht="15.9" customHeight="1">
      <c r="A44" s="36">
        <v>40</v>
      </c>
      <c r="B44" s="37" t="str">
        <f>HYPERLINK("https://www.cpft.nhs.uk/psychosis-centre/","Cambridge Psychosis Centre")</f>
        <v>Cambridge Psychosis Centre</v>
      </c>
      <c r="C44" s="38" t="s">
        <v>15</v>
      </c>
      <c r="D44" s="38" t="s">
        <v>17</v>
      </c>
      <c r="E44" s="38" t="s">
        <v>392</v>
      </c>
      <c r="F44" s="37" t="s">
        <v>5069</v>
      </c>
      <c r="G44" s="38"/>
    </row>
    <row r="45" spans="1:7" s="39" customFormat="1" ht="15.9" customHeight="1">
      <c r="A45" s="36">
        <v>41</v>
      </c>
      <c r="B45" s="37" t="str">
        <f>HYPERLINK("https://researchcentres.city.ac.uk/centre-for-mental-health-research","Centre for Mental Health Research at City, University of London")</f>
        <v>Centre for Mental Health Research at City, University of London</v>
      </c>
      <c r="C45" s="38" t="s">
        <v>15</v>
      </c>
      <c r="D45" s="38" t="s">
        <v>17</v>
      </c>
      <c r="E45" s="38" t="s">
        <v>5070</v>
      </c>
      <c r="F45" s="37" t="s">
        <v>5071</v>
      </c>
      <c r="G45" s="38"/>
    </row>
    <row r="46" spans="1:7" s="39" customFormat="1" ht="15.9" customHeight="1">
      <c r="A46" s="36">
        <v>42</v>
      </c>
      <c r="B46" s="37" t="str">
        <f>HYPERLINK("https://www.cardiff.ac.uk/centre-neuropsychiatric-genetics-genomics","Centre for Neuropsychiatric Genetics and Genomics at Cardiff University")</f>
        <v>Centre for Neuropsychiatric Genetics and Genomics at Cardiff University</v>
      </c>
      <c r="C46" s="38" t="s">
        <v>15</v>
      </c>
      <c r="D46" s="38" t="s">
        <v>17</v>
      </c>
      <c r="E46" s="38" t="s">
        <v>392</v>
      </c>
      <c r="F46" s="37" t="s">
        <v>5072</v>
      </c>
      <c r="G46" s="38"/>
    </row>
    <row r="47" spans="1:7" s="39" customFormat="1" ht="15.9" customHeight="1">
      <c r="A47" s="36">
        <v>43</v>
      </c>
      <c r="B47" s="37" t="str">
        <f>HYPERLINK("https://www.kcl.ac.uk/academic-psychiatry/about/departments/psychosis","Department of Psychosis Studies, Institute of Psychiatry, Psychology &amp; Neuroscience at King's College London")</f>
        <v>Department of Psychosis Studies, Institute of Psychiatry, Psychology &amp; Neuroscience at King's College London</v>
      </c>
      <c r="C47" s="38" t="s">
        <v>15</v>
      </c>
      <c r="D47" s="38" t="s">
        <v>17</v>
      </c>
      <c r="E47" s="38" t="s">
        <v>5073</v>
      </c>
      <c r="F47" s="37" t="s">
        <v>5074</v>
      </c>
      <c r="G47" s="38"/>
    </row>
    <row r="48" spans="1:7" s="39" customFormat="1" ht="15.9" customHeight="1">
      <c r="A48" s="36">
        <v>44</v>
      </c>
      <c r="B48" s="37" t="str">
        <f>HYPERLINK("https://www.ucl.ac.uk/psychiatry/division-psychiatry?gridset=show","Division of Psychiatry, University College London")</f>
        <v>Division of Psychiatry, University College London</v>
      </c>
      <c r="C48" s="38" t="s">
        <v>15</v>
      </c>
      <c r="D48" s="38" t="s">
        <v>17</v>
      </c>
      <c r="E48" s="38" t="s">
        <v>5075</v>
      </c>
      <c r="F48" s="37" t="s">
        <v>5076</v>
      </c>
      <c r="G48" s="38"/>
    </row>
    <row r="49" spans="1:7" s="39" customFormat="1" ht="15.9" customHeight="1">
      <c r="A49" s="36">
        <v>45</v>
      </c>
      <c r="B49" s="37" t="str">
        <f>HYPERLINK("https://institutemh.org.uk/about/vision-and-mission","Institute of Mental Health, University of Nottingham")</f>
        <v>Institute of Mental Health, University of Nottingham</v>
      </c>
      <c r="C49" s="38" t="s">
        <v>15</v>
      </c>
      <c r="D49" s="38" t="s">
        <v>17</v>
      </c>
      <c r="E49" s="38" t="s">
        <v>5077</v>
      </c>
      <c r="F49" s="37" t="s">
        <v>5078</v>
      </c>
      <c r="G49" s="38"/>
    </row>
    <row r="50" spans="1:7" s="39" customFormat="1" ht="15.9" customHeight="1">
      <c r="A50" s="36">
        <v>46</v>
      </c>
      <c r="B50" s="37" t="str">
        <f>HYPERLINK("https://slam.nhs.uk/service-detail/service/national-psychosis-service-inpatients-119/","National Psychosis Service at Bethlem Royal Hospital of South London and Maudsley NHS Foundation Trust")</f>
        <v>National Psychosis Service at Bethlem Royal Hospital of South London and Maudsley NHS Foundation Trust</v>
      </c>
      <c r="C50" s="38" t="s">
        <v>15</v>
      </c>
      <c r="D50" s="38" t="s">
        <v>17</v>
      </c>
      <c r="E50" s="38" t="s">
        <v>392</v>
      </c>
      <c r="F50" s="37" t="s">
        <v>5079</v>
      </c>
      <c r="G50" s="38"/>
    </row>
    <row r="51" spans="1:7" s="39" customFormat="1" ht="15.9" customHeight="1">
      <c r="A51" s="36">
        <v>47</v>
      </c>
      <c r="B51" s="37" t="str">
        <f>HYPERLINK("https://www.sane.org.uk/understanding-mental-illness/research-mind-brain/powic","Prince of Wales International Centre for SANE Research")</f>
        <v>Prince of Wales International Centre for SANE Research</v>
      </c>
      <c r="C51" s="38" t="s">
        <v>15</v>
      </c>
      <c r="D51" s="38" t="s">
        <v>17</v>
      </c>
      <c r="E51" s="38" t="s">
        <v>5080</v>
      </c>
      <c r="F51" s="37" t="s">
        <v>5081</v>
      </c>
      <c r="G51" s="38"/>
    </row>
    <row r="52" spans="1:7" s="39" customFormat="1" ht="15.9" customHeight="1">
      <c r="A52" s="36">
        <v>48</v>
      </c>
      <c r="B52" s="37" t="str">
        <f>HYPERLINK("https://sloanecourtclinic.com/","Sloane Court Clinic")</f>
        <v>Sloane Court Clinic</v>
      </c>
      <c r="C52" s="38" t="s">
        <v>15</v>
      </c>
      <c r="D52" s="38" t="s">
        <v>17</v>
      </c>
      <c r="E52" s="38" t="s">
        <v>5075</v>
      </c>
      <c r="F52" s="37" t="s">
        <v>5082</v>
      </c>
      <c r="G52" s="38"/>
    </row>
    <row r="53" spans="1:7" s="39" customFormat="1" ht="15.9" customHeight="1">
      <c r="A53" s="36">
        <v>49</v>
      </c>
      <c r="B53" s="37" t="str">
        <f>HYPERLINK("https://www.neomed.edu/bestcenter/","Best Practices in Schizophrenia Treatment (BeST) Center")</f>
        <v>Best Practices in Schizophrenia Treatment (BeST) Center</v>
      </c>
      <c r="C53" s="38" t="s">
        <v>15</v>
      </c>
      <c r="D53" s="38" t="s">
        <v>18</v>
      </c>
      <c r="E53" s="38" t="s">
        <v>371</v>
      </c>
      <c r="F53" s="37" t="s">
        <v>5083</v>
      </c>
      <c r="G53" s="38"/>
    </row>
    <row r="54" spans="1:7" s="39" customFormat="1" ht="15.9" customHeight="1">
      <c r="A54" s="36">
        <v>50</v>
      </c>
      <c r="B54" s="37" t="str">
        <f>HYPERLINK("https://mghcoe.com/","Center of Excellence for Psychosocial and Systemic Research, Massachusetts General Hospital")</f>
        <v>Center of Excellence for Psychosocial and Systemic Research, Massachusetts General Hospital</v>
      </c>
      <c r="C54" s="38" t="s">
        <v>15</v>
      </c>
      <c r="D54" s="38" t="s">
        <v>18</v>
      </c>
      <c r="E54" s="38" t="s">
        <v>5034</v>
      </c>
      <c r="F54" s="37" t="s">
        <v>5084</v>
      </c>
      <c r="G54" s="38"/>
    </row>
    <row r="55" spans="1:7" s="39" customFormat="1" ht="15.9" customHeight="1">
      <c r="A55" s="36">
        <v>51</v>
      </c>
      <c r="B55" s="37" t="str">
        <f>HYPERLINK("https://www.mirecc.va.gov/CESAMH/index.asp","Center of Excellence for Stress and Mental Health, VA San Diego Healthcare System")</f>
        <v>Center of Excellence for Stress and Mental Health, VA San Diego Healthcare System</v>
      </c>
      <c r="C55" s="38" t="s">
        <v>15</v>
      </c>
      <c r="D55" s="38" t="s">
        <v>18</v>
      </c>
      <c r="E55" s="38" t="s">
        <v>5085</v>
      </c>
      <c r="F55" s="37" t="s">
        <v>5086</v>
      </c>
      <c r="G55" s="38"/>
    </row>
    <row r="56" spans="1:7" s="39" customFormat="1" ht="15.9" customHeight="1">
      <c r="A56" s="36">
        <v>52</v>
      </c>
      <c r="B56" s="37" t="str">
        <f>HYPERLINK("https://healthandwelfare.idaho.gov/coe","Idaho Early Serious Mental Illness (ESMI) Competency Center")</f>
        <v>Idaho Early Serious Mental Illness (ESMI) Competency Center</v>
      </c>
      <c r="C56" s="38" t="s">
        <v>15</v>
      </c>
      <c r="D56" s="38" t="s">
        <v>18</v>
      </c>
      <c r="E56" s="38" t="s">
        <v>5087</v>
      </c>
      <c r="F56" s="37" t="s">
        <v>5088</v>
      </c>
      <c r="G56" s="38"/>
    </row>
    <row r="57" spans="1:7" s="39" customFormat="1" ht="15.9" customHeight="1">
      <c r="A57" s="36">
        <v>53</v>
      </c>
      <c r="B57" s="37" t="str">
        <f>HYPERLINK("https://www.hopkinsmedicine.org/inhealth/psychosis","Johns Hopkins inHealth - Precision Medicine Center of Excellence in Psychosis")</f>
        <v>Johns Hopkins inHealth - Precision Medicine Center of Excellence in Psychosis</v>
      </c>
      <c r="C57" s="38" t="s">
        <v>15</v>
      </c>
      <c r="D57" s="38" t="s">
        <v>18</v>
      </c>
      <c r="E57" s="38" t="s">
        <v>5034</v>
      </c>
      <c r="F57" s="37" t="s">
        <v>5089</v>
      </c>
      <c r="G57" s="38"/>
    </row>
    <row r="58" spans="1:7" s="39" customFormat="1" ht="15.9" customHeight="1">
      <c r="A58" s="36">
        <v>54</v>
      </c>
      <c r="B58" s="37" t="str">
        <f>HYPERLINK("https://www.hopkinsmedicine.org/news/articles/2022/08/new-center-aims-to-bolster-treatment-of-schizoaffective-disorders","Johns Hopkins Precision Medicine Center of Excellence for Schizoaffective Disorders")</f>
        <v>Johns Hopkins Precision Medicine Center of Excellence for Schizoaffective Disorders</v>
      </c>
      <c r="C58" s="38" t="s">
        <v>15</v>
      </c>
      <c r="D58" s="38" t="s">
        <v>18</v>
      </c>
      <c r="E58" s="38" t="s">
        <v>5090</v>
      </c>
      <c r="F58" s="37" t="s">
        <v>5091</v>
      </c>
      <c r="G58" s="38"/>
    </row>
    <row r="59" spans="1:7" s="39" customFormat="1" ht="15.9" customHeight="1">
      <c r="A59" s="36">
        <v>55</v>
      </c>
      <c r="B59" s="37" t="str">
        <f>HYPERLINK("https://www.columbiapsychiatry.org/research/research-centers-interdisciplinary-programs/lieber-center-schizophrenia-research-and-treatment","Lieber Center for Schizophrenia Research and Treatment")</f>
        <v>Lieber Center for Schizophrenia Research and Treatment</v>
      </c>
      <c r="C59" s="38" t="s">
        <v>15</v>
      </c>
      <c r="D59" s="38" t="s">
        <v>18</v>
      </c>
      <c r="E59" s="38" t="s">
        <v>371</v>
      </c>
      <c r="F59" s="37" t="s">
        <v>5092</v>
      </c>
      <c r="G59" s="38"/>
    </row>
    <row r="60" spans="1:7" s="39" customFormat="1" ht="15.9" customHeight="1">
      <c r="A60" s="36">
        <v>56</v>
      </c>
      <c r="B60" s="37" t="str">
        <f>HYPERLINK("https://www.mirecc.va.gov/visn22/","Mental Illness Research, Education and Clinical Centers (MIRECCs)")</f>
        <v>Mental Illness Research, Education and Clinical Centers (MIRECCs)</v>
      </c>
      <c r="C60" s="38" t="s">
        <v>15</v>
      </c>
      <c r="D60" s="38" t="s">
        <v>18</v>
      </c>
      <c r="E60" s="38" t="s">
        <v>371</v>
      </c>
      <c r="F60" s="37" t="s">
        <v>5093</v>
      </c>
      <c r="G60" s="38"/>
    </row>
    <row r="61" spans="1:7" s="39" customFormat="1" ht="15.9" customHeight="1">
      <c r="A61" s="36">
        <v>57</v>
      </c>
      <c r="B61" s="37" t="str">
        <f>HYPERLINK("https://montefioreeinstein.org/patient-care/services/psychiatry","Montefiore Einstein Department of Psychiatry &amp; Behavioral Sciences")</f>
        <v>Montefiore Einstein Department of Psychiatry &amp; Behavioral Sciences</v>
      </c>
      <c r="C61" s="38" t="s">
        <v>15</v>
      </c>
      <c r="D61" s="38" t="s">
        <v>18</v>
      </c>
      <c r="E61" s="38" t="s">
        <v>5080</v>
      </c>
      <c r="F61" s="37" t="s">
        <v>5094</v>
      </c>
      <c r="G61" s="38"/>
    </row>
    <row r="62" spans="1:7" s="39" customFormat="1" ht="15.9" customHeight="1">
      <c r="A62" s="36">
        <v>58</v>
      </c>
      <c r="B62" s="37" t="str">
        <f>HYPERLINK("https://schizophrenia.pocn.com/","POCN’s Schizophrenia Center of Excellence")</f>
        <v>POCN’s Schizophrenia Center of Excellence</v>
      </c>
      <c r="C62" s="38" t="s">
        <v>15</v>
      </c>
      <c r="D62" s="38" t="s">
        <v>18</v>
      </c>
      <c r="E62" s="38" t="s">
        <v>371</v>
      </c>
      <c r="F62" s="37" t="s">
        <v>5095</v>
      </c>
      <c r="G62" s="38"/>
    </row>
    <row r="63" spans="1:7" s="39" customFormat="1" ht="15.9" customHeight="1">
      <c r="A63" s="36">
        <v>59</v>
      </c>
      <c r="B63" s="37" t="str">
        <f>HYPERLINK("https://www.bidmc.org/research/research-by-department/psychiatry/psychosis-research-program/prp-history","Psychosis Research Program (PRP), Beth Israel Deaconess Medical Center")</f>
        <v>Psychosis Research Program (PRP), Beth Israel Deaconess Medical Center</v>
      </c>
      <c r="C63" s="38" t="s">
        <v>15</v>
      </c>
      <c r="D63" s="38" t="s">
        <v>18</v>
      </c>
      <c r="E63" s="38" t="s">
        <v>5034</v>
      </c>
      <c r="F63" s="37" t="s">
        <v>5096</v>
      </c>
      <c r="G63" s="38"/>
    </row>
    <row r="64" spans="1:7" s="39" customFormat="1" ht="15.9" customHeight="1">
      <c r="A64" s="36">
        <v>60</v>
      </c>
      <c r="B64" s="37" t="str">
        <f>HYPERLINK("https://instituteofliving.org/programs-services/schizophrenia-treatment-services","Schizophrenia Treatment Services at The Institute of Living")</f>
        <v>Schizophrenia Treatment Services at The Institute of Living</v>
      </c>
      <c r="C64" s="38" t="s">
        <v>15</v>
      </c>
      <c r="D64" s="38" t="s">
        <v>18</v>
      </c>
      <c r="E64" s="38" t="s">
        <v>371</v>
      </c>
      <c r="F64" s="37" t="s">
        <v>5097</v>
      </c>
      <c r="G64" s="38"/>
    </row>
    <row r="65" spans="1:7" s="39" customFormat="1" ht="15.9" customHeight="1">
      <c r="A65" s="36">
        <v>61</v>
      </c>
      <c r="B65" s="37" t="str">
        <f>HYPERLINK("https://coementalhealth.com/schizophrenia/","The Center of Excellence in Co-Occurring Medicine")</f>
        <v>The Center of Excellence in Co-Occurring Medicine</v>
      </c>
      <c r="C65" s="38" t="s">
        <v>15</v>
      </c>
      <c r="D65" s="38" t="s">
        <v>18</v>
      </c>
      <c r="E65" s="38" t="s">
        <v>371</v>
      </c>
      <c r="F65" s="37" t="s">
        <v>5098</v>
      </c>
      <c r="G65" s="38"/>
    </row>
    <row r="66" spans="1:7" s="39" customFormat="1" ht="15.9" customHeight="1">
      <c r="A66" s="36">
        <v>62</v>
      </c>
      <c r="B66" s="37" t="str">
        <f>HYPERLINK("https://www.wa-ceep.org/","The WA Center of Excellence in Early Psychosis")</f>
        <v>The WA Center of Excellence in Early Psychosis</v>
      </c>
      <c r="C66" s="38" t="s">
        <v>15</v>
      </c>
      <c r="D66" s="38" t="s">
        <v>18</v>
      </c>
      <c r="E66" s="38" t="s">
        <v>5034</v>
      </c>
      <c r="F66" s="37" t="s">
        <v>5099</v>
      </c>
      <c r="G66" s="38"/>
    </row>
    <row r="67" spans="1:7" s="39" customFormat="1" ht="15.9" customHeight="1">
      <c r="A67" s="36">
        <v>63</v>
      </c>
      <c r="B67" s="37" t="str">
        <f>HYPERLINK("https://www.semel.ucla.edu/psychosis/","UCLA Semel Institute for Neuroscience and Human Behavior")</f>
        <v>UCLA Semel Institute for Neuroscience and Human Behavior</v>
      </c>
      <c r="C67" s="38" t="s">
        <v>15</v>
      </c>
      <c r="D67" s="38" t="s">
        <v>18</v>
      </c>
      <c r="E67" s="38" t="s">
        <v>392</v>
      </c>
      <c r="F67" s="37" t="s">
        <v>5100</v>
      </c>
      <c r="G67" s="38"/>
    </row>
    <row r="68" spans="1:7" s="39" customFormat="1" ht="15.9" customHeight="1">
      <c r="A68" s="36">
        <v>64</v>
      </c>
      <c r="B68" s="37" t="str">
        <f>HYPERLINK("https://www.med.unc.edu/psych/cecmh/about-us/","UNC Center for Excellence in Community Mental Health")</f>
        <v>UNC Center for Excellence in Community Mental Health</v>
      </c>
      <c r="C68" s="38" t="s">
        <v>15</v>
      </c>
      <c r="D68" s="38" t="s">
        <v>18</v>
      </c>
      <c r="E68" s="38" t="s">
        <v>371</v>
      </c>
      <c r="F68" s="37" t="s">
        <v>5101</v>
      </c>
      <c r="G68" s="38"/>
    </row>
  </sheetData>
  <autoFilter ref="A4:G68" xr:uid="{00000000-0009-0000-0000-000009000000}"/>
  <mergeCells count="2">
    <mergeCell ref="A1:G1"/>
    <mergeCell ref="A2:G3"/>
  </mergeCells>
  <hyperlinks>
    <hyperlink ref="F5" r:id="rId1" xr:uid="{00000000-0004-0000-0900-000000000000}"/>
    <hyperlink ref="F6" r:id="rId2" xr:uid="{00000000-0004-0000-0900-000001000000}"/>
    <hyperlink ref="F7" r:id="rId3" xr:uid="{00000000-0004-0000-0900-000002000000}"/>
    <hyperlink ref="F8" r:id="rId4" xr:uid="{00000000-0004-0000-0900-000003000000}"/>
    <hyperlink ref="F9" r:id="rId5" xr:uid="{00000000-0004-0000-0900-000004000000}"/>
    <hyperlink ref="F10" r:id="rId6" xr:uid="{00000000-0004-0000-0900-000005000000}"/>
    <hyperlink ref="F11" r:id="rId7" xr:uid="{00000000-0004-0000-0900-000006000000}"/>
    <hyperlink ref="F12" r:id="rId8" xr:uid="{00000000-0004-0000-0900-000007000000}"/>
    <hyperlink ref="F13" r:id="rId9" xr:uid="{00000000-0004-0000-0900-000008000000}"/>
    <hyperlink ref="F14" r:id="rId10" xr:uid="{00000000-0004-0000-0900-000009000000}"/>
    <hyperlink ref="F15" r:id="rId11" xr:uid="{00000000-0004-0000-0900-00000A000000}"/>
    <hyperlink ref="F16" r:id="rId12" location="onglet3" xr:uid="{00000000-0004-0000-0900-00000B000000}"/>
    <hyperlink ref="F17" r:id="rId13" xr:uid="{00000000-0004-0000-0900-00000C000000}"/>
    <hyperlink ref="F18" r:id="rId14" xr:uid="{00000000-0004-0000-0900-00000D000000}"/>
    <hyperlink ref="F19" r:id="rId15" xr:uid="{00000000-0004-0000-0900-00000E000000}"/>
    <hyperlink ref="F20" r:id="rId16" xr:uid="{00000000-0004-0000-0900-00000F000000}"/>
    <hyperlink ref="F21" r:id="rId17" xr:uid="{00000000-0004-0000-0900-000010000000}"/>
    <hyperlink ref="F22" r:id="rId18" xr:uid="{00000000-0004-0000-0900-000011000000}"/>
    <hyperlink ref="F23" r:id="rId19" xr:uid="{00000000-0004-0000-0900-000012000000}"/>
    <hyperlink ref="F24" r:id="rId20" xr:uid="{00000000-0004-0000-0900-000013000000}"/>
    <hyperlink ref="F25" r:id="rId21" xr:uid="{00000000-0004-0000-0900-000014000000}"/>
    <hyperlink ref="F26" r:id="rId22" xr:uid="{00000000-0004-0000-0900-000015000000}"/>
    <hyperlink ref="F27" r:id="rId23" xr:uid="{00000000-0004-0000-0900-000016000000}"/>
    <hyperlink ref="F28" r:id="rId24" xr:uid="{00000000-0004-0000-0900-000017000000}"/>
    <hyperlink ref="F29" r:id="rId25" xr:uid="{00000000-0004-0000-0900-000018000000}"/>
    <hyperlink ref="F30" r:id="rId26" xr:uid="{00000000-0004-0000-0900-000019000000}"/>
    <hyperlink ref="F31" r:id="rId27" xr:uid="{00000000-0004-0000-0900-00001A000000}"/>
    <hyperlink ref="F32" r:id="rId28" xr:uid="{00000000-0004-0000-0900-00001B000000}"/>
    <hyperlink ref="F33" r:id="rId29" xr:uid="{00000000-0004-0000-0900-00001C000000}"/>
    <hyperlink ref="F34" r:id="rId30" xr:uid="{00000000-0004-0000-0900-00001D000000}"/>
    <hyperlink ref="F35" r:id="rId31" xr:uid="{00000000-0004-0000-0900-00001E000000}"/>
    <hyperlink ref="F36" r:id="rId32" xr:uid="{00000000-0004-0000-0900-00001F000000}"/>
    <hyperlink ref="F37" r:id="rId33" xr:uid="{00000000-0004-0000-0900-000020000000}"/>
    <hyperlink ref="F38" r:id="rId34" xr:uid="{00000000-0004-0000-0900-000021000000}"/>
    <hyperlink ref="F39" r:id="rId35" xr:uid="{00000000-0004-0000-0900-000022000000}"/>
    <hyperlink ref="F40" r:id="rId36" xr:uid="{00000000-0004-0000-0900-000023000000}"/>
    <hyperlink ref="F41" r:id="rId37" xr:uid="{00000000-0004-0000-0900-000024000000}"/>
    <hyperlink ref="F42" r:id="rId38" xr:uid="{00000000-0004-0000-0900-000025000000}"/>
    <hyperlink ref="F43" r:id="rId39" xr:uid="{00000000-0004-0000-0900-000026000000}"/>
    <hyperlink ref="F44" r:id="rId40" xr:uid="{00000000-0004-0000-0900-000027000000}"/>
    <hyperlink ref="F45" r:id="rId41" xr:uid="{00000000-0004-0000-0900-000028000000}"/>
    <hyperlink ref="F46" r:id="rId42" xr:uid="{00000000-0004-0000-0900-000029000000}"/>
    <hyperlink ref="F47" r:id="rId43" xr:uid="{00000000-0004-0000-0900-00002A000000}"/>
    <hyperlink ref="F48" r:id="rId44" xr:uid="{00000000-0004-0000-0900-00002B000000}"/>
    <hyperlink ref="F49" r:id="rId45" xr:uid="{00000000-0004-0000-0900-00002C000000}"/>
    <hyperlink ref="F50" r:id="rId46" xr:uid="{00000000-0004-0000-0900-00002D000000}"/>
    <hyperlink ref="F51" r:id="rId47" xr:uid="{00000000-0004-0000-0900-00002E000000}"/>
    <hyperlink ref="F52" r:id="rId48" xr:uid="{00000000-0004-0000-0900-00002F000000}"/>
    <hyperlink ref="F53" r:id="rId49" xr:uid="{00000000-0004-0000-0900-000030000000}"/>
    <hyperlink ref="F54" r:id="rId50" xr:uid="{00000000-0004-0000-0900-000031000000}"/>
    <hyperlink ref="F55" r:id="rId51" xr:uid="{00000000-0004-0000-0900-000032000000}"/>
    <hyperlink ref="F56" r:id="rId52" xr:uid="{00000000-0004-0000-0900-000033000000}"/>
    <hyperlink ref="F57" r:id="rId53" xr:uid="{00000000-0004-0000-0900-000034000000}"/>
    <hyperlink ref="F58" r:id="rId54" xr:uid="{00000000-0004-0000-0900-000035000000}"/>
    <hyperlink ref="F59" r:id="rId55" xr:uid="{00000000-0004-0000-0900-000036000000}"/>
    <hyperlink ref="F60" r:id="rId56" xr:uid="{00000000-0004-0000-0900-000037000000}"/>
    <hyperlink ref="F61" r:id="rId57" xr:uid="{00000000-0004-0000-0900-000038000000}"/>
    <hyperlink ref="F62" r:id="rId58" xr:uid="{00000000-0004-0000-0900-000039000000}"/>
    <hyperlink ref="F63" r:id="rId59" xr:uid="{00000000-0004-0000-0900-00003A000000}"/>
    <hyperlink ref="F64" r:id="rId60" xr:uid="{00000000-0004-0000-0900-00003B000000}"/>
    <hyperlink ref="F65" r:id="rId61" xr:uid="{00000000-0004-0000-0900-00003C000000}"/>
    <hyperlink ref="F66" r:id="rId62" xr:uid="{00000000-0004-0000-0900-00003D000000}"/>
    <hyperlink ref="F67" r:id="rId63" xr:uid="{00000000-0004-0000-0900-00003E000000}"/>
    <hyperlink ref="F68" r:id="rId64" xr:uid="{00000000-0004-0000-0900-00003F000000}"/>
  </hyperlinks>
  <pageMargins left="0.7" right="0.7" top="0.75" bottom="0.75" header="0.3" footer="0.3"/>
  <pageSetup orientation="portrait" r:id="rId6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24"/>
  <sheetViews>
    <sheetView showGridLines="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9.109375" defaultRowHeight="13.2"/>
  <cols>
    <col min="1" max="1" width="6.109375" style="34" customWidth="1"/>
    <col min="2" max="2" width="70.88671875" style="34" customWidth="1"/>
    <col min="3" max="3" width="15.5546875" style="34" customWidth="1"/>
    <col min="4" max="4" width="15.88671875" style="34" customWidth="1"/>
    <col min="5" max="5" width="18" style="34" customWidth="1"/>
    <col min="6" max="6" width="44.109375" style="34" customWidth="1"/>
    <col min="7" max="7" width="42.44140625" style="34" customWidth="1"/>
    <col min="8" max="16384" width="9.109375" style="34"/>
  </cols>
  <sheetData>
    <row r="1" spans="1:7" ht="25.35" customHeight="1">
      <c r="A1" s="75" t="s">
        <v>0</v>
      </c>
      <c r="B1" s="75"/>
      <c r="C1" s="75"/>
      <c r="D1" s="75"/>
      <c r="E1" s="75"/>
      <c r="F1" s="75"/>
      <c r="G1" s="75"/>
    </row>
    <row r="2" spans="1:7" ht="15" customHeight="1">
      <c r="A2" s="76" t="s">
        <v>1</v>
      </c>
      <c r="B2" s="76"/>
      <c r="C2" s="76"/>
      <c r="D2" s="76"/>
      <c r="E2" s="76"/>
      <c r="F2" s="76"/>
      <c r="G2" s="76"/>
    </row>
    <row r="3" spans="1:7" ht="15" customHeight="1">
      <c r="A3" s="76"/>
      <c r="B3" s="76"/>
      <c r="C3" s="76"/>
      <c r="D3" s="76"/>
      <c r="E3" s="76"/>
      <c r="F3" s="76"/>
      <c r="G3" s="76"/>
    </row>
    <row r="4" spans="1:7" ht="28.5" customHeight="1">
      <c r="A4" s="9" t="s">
        <v>2</v>
      </c>
      <c r="B4" s="35" t="s">
        <v>5019</v>
      </c>
      <c r="C4" s="9" t="s">
        <v>12</v>
      </c>
      <c r="D4" s="9" t="s">
        <v>13</v>
      </c>
      <c r="E4" s="35" t="s">
        <v>5020</v>
      </c>
      <c r="F4" s="9" t="s">
        <v>5</v>
      </c>
      <c r="G4" s="35" t="s">
        <v>6</v>
      </c>
    </row>
    <row r="5" spans="1:7" ht="15.75" customHeight="1">
      <c r="A5" s="40">
        <v>1</v>
      </c>
      <c r="B5" s="37" t="str">
        <f>HYPERLINK("https://www.elisplace.org/our-solution/therapeutic-model/","Eli’s Place Residential Treatment and Transition Centre")</f>
        <v>Eli’s Place Residential Treatment and Transition Centre</v>
      </c>
      <c r="C5" s="41" t="s">
        <v>15</v>
      </c>
      <c r="D5" s="41" t="s">
        <v>24</v>
      </c>
      <c r="E5" s="41" t="s">
        <v>371</v>
      </c>
      <c r="F5" s="37" t="s">
        <v>5102</v>
      </c>
      <c r="G5" s="3"/>
    </row>
    <row r="6" spans="1:7" ht="15.75" customHeight="1">
      <c r="A6" s="40">
        <v>2</v>
      </c>
      <c r="B6" s="37" t="str">
        <f>HYPERLINK("https://ravensview.com/","Homewood Ravensview")</f>
        <v>Homewood Ravensview</v>
      </c>
      <c r="C6" s="41" t="s">
        <v>15</v>
      </c>
      <c r="D6" s="41" t="s">
        <v>24</v>
      </c>
      <c r="E6" s="41" t="s">
        <v>371</v>
      </c>
      <c r="F6" s="37" t="s">
        <v>5103</v>
      </c>
      <c r="G6" s="3"/>
    </row>
    <row r="7" spans="1:7" ht="15.75" customHeight="1">
      <c r="A7" s="40">
        <v>3</v>
      </c>
      <c r="B7" s="37" t="str">
        <f>HYPERLINK("https://www.ontarioshores.ca/what-expect/while-treatment/psychosis-or-schizophrenia-treament-and-recovery","Ontario Shores Centre for Mental Health Sciences")</f>
        <v>Ontario Shores Centre for Mental Health Sciences</v>
      </c>
      <c r="C7" s="41" t="s">
        <v>15</v>
      </c>
      <c r="D7" s="41" t="s">
        <v>24</v>
      </c>
      <c r="E7" s="41" t="s">
        <v>392</v>
      </c>
      <c r="F7" s="37" t="s">
        <v>5104</v>
      </c>
      <c r="G7" s="3"/>
    </row>
    <row r="8" spans="1:7" ht="15.75" customHeight="1">
      <c r="A8" s="40">
        <v>4</v>
      </c>
      <c r="B8" s="37" t="str">
        <f>HYPERLINK("https://www.prhc.on.ca/healthcare-services/mental-health-addictions/psychosis_assessment_treatment_clinic/","Psychosis Assessment &amp; Treatment Clinic (PATC), Peterborough Regional Health Centre")</f>
        <v>Psychosis Assessment &amp; Treatment Clinic (PATC), Peterborough Regional Health Centre</v>
      </c>
      <c r="C8" s="41" t="s">
        <v>15</v>
      </c>
      <c r="D8" s="41" t="s">
        <v>24</v>
      </c>
      <c r="E8" s="41" t="s">
        <v>392</v>
      </c>
      <c r="F8" s="37" t="s">
        <v>5105</v>
      </c>
      <c r="G8" s="3"/>
    </row>
    <row r="9" spans="1:7" ht="15.75" customHeight="1">
      <c r="A9" s="40">
        <v>5</v>
      </c>
      <c r="B9" s="37" t="str">
        <f>HYPERLINK("https://www.theroyal.ca/patient-care-information/clinics-services-programs/schizophrenia-recovery-program","Royal Ottawa Mental Health Centre")</f>
        <v>Royal Ottawa Mental Health Centre</v>
      </c>
      <c r="C9" s="41" t="s">
        <v>15</v>
      </c>
      <c r="D9" s="41" t="s">
        <v>24</v>
      </c>
      <c r="E9" s="41" t="s">
        <v>371</v>
      </c>
      <c r="F9" s="37" t="s">
        <v>5025</v>
      </c>
      <c r="G9" s="3"/>
    </row>
    <row r="10" spans="1:7" ht="15.75" customHeight="1">
      <c r="A10" s="40">
        <v>6</v>
      </c>
      <c r="B10" s="37" t="str">
        <f>HYPERLINK("https://www.stjoes.ca/health-services/mental-health-addiction-services/mental-health-services/schizophrenia-community-integration-service-scis-","Schizophrenia &amp; Community Integration Service, St Joseph's Healthcare Hamilton")</f>
        <v>Schizophrenia &amp; Community Integration Service, St Joseph's Healthcare Hamilton</v>
      </c>
      <c r="C10" s="41" t="s">
        <v>15</v>
      </c>
      <c r="D10" s="41" t="s">
        <v>24</v>
      </c>
      <c r="E10" s="41" t="s">
        <v>371</v>
      </c>
      <c r="F10" s="37" t="s">
        <v>5024</v>
      </c>
      <c r="G10" s="3"/>
    </row>
    <row r="11" spans="1:7" ht="15.75" customHeight="1">
      <c r="A11" s="40">
        <v>7</v>
      </c>
      <c r="B11" s="37" t="str">
        <f>HYPERLINK("https://www.sunshinecoasthealthcentre.ca/our-approach/","Sunshine Coast Health Centre")</f>
        <v>Sunshine Coast Health Centre</v>
      </c>
      <c r="C11" s="41" t="s">
        <v>15</v>
      </c>
      <c r="D11" s="41" t="s">
        <v>24</v>
      </c>
      <c r="E11" s="41" t="s">
        <v>392</v>
      </c>
      <c r="F11" s="37" t="s">
        <v>5106</v>
      </c>
      <c r="G11" s="3"/>
    </row>
    <row r="12" spans="1:7" ht="15.75" customHeight="1">
      <c r="A12" s="40">
        <v>8</v>
      </c>
      <c r="B12" s="37" t="str">
        <f>HYPERLINK("https://www.clinique-anouste.fr/","Anouste Clinic")</f>
        <v>Anouste Clinic</v>
      </c>
      <c r="C12" s="41" t="s">
        <v>15</v>
      </c>
      <c r="D12" s="41" t="s">
        <v>292</v>
      </c>
      <c r="E12" s="41" t="s">
        <v>371</v>
      </c>
      <c r="F12" s="37" t="s">
        <v>5107</v>
      </c>
      <c r="G12" s="3"/>
    </row>
    <row r="13" spans="1:7" ht="15.75" customHeight="1">
      <c r="A13" s="40">
        <v>9</v>
      </c>
      <c r="B13" s="37" t="str">
        <f>HYPERLINK("https://clinique-aufrery.com/prises-en-charges/","Aufrery Clinic")</f>
        <v>Aufrery Clinic</v>
      </c>
      <c r="C13" s="41" t="s">
        <v>15</v>
      </c>
      <c r="D13" s="41" t="s">
        <v>292</v>
      </c>
      <c r="E13" s="41" t="s">
        <v>5108</v>
      </c>
      <c r="F13" s="37" t="s">
        <v>5109</v>
      </c>
      <c r="G13" s="3"/>
    </row>
    <row r="14" spans="1:7" ht="15.75" customHeight="1">
      <c r="A14" s="40">
        <v>10</v>
      </c>
      <c r="B14" s="37" t="str">
        <f>HYPERLINK("https://www.clinique-bellerive.fr/les-pathologies-soignees/psychose/","Belle Rive Clinic")</f>
        <v>Belle Rive Clinic</v>
      </c>
      <c r="C14" s="41" t="s">
        <v>15</v>
      </c>
      <c r="D14" s="41" t="s">
        <v>292</v>
      </c>
      <c r="E14" s="41" t="s">
        <v>5108</v>
      </c>
      <c r="F14" s="37" t="s">
        <v>5110</v>
      </c>
      <c r="G14" s="3"/>
    </row>
    <row r="15" spans="1:7" ht="15.75" customHeight="1">
      <c r="A15" s="40">
        <v>11</v>
      </c>
      <c r="B15" s="37" t="str">
        <f>HYPERLINK("https://clinique-bethanie.fr/","Bethany Clinic")</f>
        <v>Bethany Clinic</v>
      </c>
      <c r="C15" s="41" t="s">
        <v>15</v>
      </c>
      <c r="D15" s="41" t="s">
        <v>292</v>
      </c>
      <c r="E15" s="41" t="s">
        <v>3707</v>
      </c>
      <c r="F15" s="37" t="s">
        <v>5111</v>
      </c>
      <c r="G15" s="3"/>
    </row>
    <row r="16" spans="1:7" ht="15.75" customHeight="1">
      <c r="A16" s="40">
        <v>12</v>
      </c>
      <c r="B16" s="37" t="str">
        <f>HYPERLINK("https://caradoc.fr/pathologies_prise_en_charge.php","Château Caradoc Clinic")</f>
        <v>Château Caradoc Clinic</v>
      </c>
      <c r="C16" s="41" t="s">
        <v>15</v>
      </c>
      <c r="D16" s="41" t="s">
        <v>292</v>
      </c>
      <c r="E16" s="41" t="s">
        <v>5108</v>
      </c>
      <c r="F16" s="37" t="s">
        <v>5112</v>
      </c>
      <c r="G16" s="3"/>
    </row>
    <row r="17" spans="1:7" ht="15.75" customHeight="1">
      <c r="A17" s="40">
        <v>13</v>
      </c>
      <c r="B17" s="37" t="str">
        <f>HYPERLINK("https://www.clinique-portes-eure.com/spectre-de-la-schizophrenie-_r_116.html","Clinique des Portes de l'Eure")</f>
        <v>Clinique des Portes de l'Eure</v>
      </c>
      <c r="C17" s="41" t="s">
        <v>15</v>
      </c>
      <c r="D17" s="41" t="s">
        <v>292</v>
      </c>
      <c r="E17" s="41" t="s">
        <v>392</v>
      </c>
      <c r="F17" s="37" t="s">
        <v>5113</v>
      </c>
      <c r="G17" s="3"/>
    </row>
    <row r="18" spans="1:7" ht="15.75" customHeight="1">
      <c r="A18" s="40">
        <v>14</v>
      </c>
      <c r="B18" s="37" t="str">
        <f>HYPERLINK("https://www.emeis-cliniques.fr/clinique-les-oyats-calais-62/traitements-et-soins","Les Oyats Clinic in Calais in Calais")</f>
        <v>Les Oyats Clinic in Calais in Calais</v>
      </c>
      <c r="C18" s="41" t="s">
        <v>15</v>
      </c>
      <c r="D18" s="41" t="s">
        <v>292</v>
      </c>
      <c r="E18" s="41" t="s">
        <v>392</v>
      </c>
      <c r="F18" s="37" t="s">
        <v>5114</v>
      </c>
      <c r="G18" s="3"/>
    </row>
    <row r="19" spans="1:7" ht="15.75" customHeight="1">
      <c r="A19" s="40">
        <v>15</v>
      </c>
      <c r="B19" s="37" t="str">
        <f>HYPERLINK("https://www.clinique-nogent.com/","Nogent-Sur-Marne Health Center")</f>
        <v>Nogent-Sur-Marne Health Center</v>
      </c>
      <c r="C19" s="41" t="s">
        <v>15</v>
      </c>
      <c r="D19" s="41" t="s">
        <v>292</v>
      </c>
      <c r="E19" s="41" t="s">
        <v>371</v>
      </c>
      <c r="F19" s="37" t="s">
        <v>5115</v>
      </c>
      <c r="G19" s="3"/>
    </row>
    <row r="20" spans="1:7" ht="15.75" customHeight="1">
      <c r="A20" s="40">
        <v>16</v>
      </c>
      <c r="B20" s="37" t="str">
        <f>HYPERLINK("https://www.fhp-hautsdefrance.com/annuaire/centre-robert-schuman/","Robert Schuman Clinic")</f>
        <v>Robert Schuman Clinic</v>
      </c>
      <c r="C20" s="41" t="s">
        <v>15</v>
      </c>
      <c r="D20" s="41" t="s">
        <v>292</v>
      </c>
      <c r="E20" s="41" t="s">
        <v>5034</v>
      </c>
      <c r="F20" s="37" t="s">
        <v>5116</v>
      </c>
      <c r="G20" s="3"/>
    </row>
    <row r="21" spans="1:7" ht="15.75" customHeight="1">
      <c r="A21" s="40">
        <v>17</v>
      </c>
      <c r="B21" s="37" t="str">
        <f>HYPERLINK("https://www.cliniquesdesaujon.com/","Saujon Clinics")</f>
        <v>Saujon Clinics</v>
      </c>
      <c r="C21" s="41" t="s">
        <v>15</v>
      </c>
      <c r="D21" s="41" t="s">
        <v>292</v>
      </c>
      <c r="E21" s="41" t="s">
        <v>5108</v>
      </c>
      <c r="F21" s="37" t="s">
        <v>5117</v>
      </c>
      <c r="G21" s="3"/>
    </row>
    <row r="22" spans="1:7" ht="15.75" customHeight="1">
      <c r="A22" s="40">
        <v>18</v>
      </c>
      <c r="B22" s="37" t="str">
        <f>HYPERLINK("https://clinique-cedres-toulouse.ramsaysante.fr/vous-etes-patient-pourquoi-choisir-notre-etablissement-tous-nos-soins/schizophrenie","The Cedars Clinic")</f>
        <v>The Cedars Clinic</v>
      </c>
      <c r="C22" s="41" t="s">
        <v>15</v>
      </c>
      <c r="D22" s="41" t="s">
        <v>292</v>
      </c>
      <c r="E22" s="41" t="s">
        <v>392</v>
      </c>
      <c r="F22" s="37" t="s">
        <v>5118</v>
      </c>
      <c r="G22" s="3"/>
    </row>
    <row r="23" spans="1:7" ht="15.75" customHeight="1">
      <c r="A23" s="40">
        <v>19</v>
      </c>
      <c r="B23" s="37" t="str">
        <f>HYPERLINK("https://www.valfleur.fr/maison+d+accueil+pour+schizophrene+allauch-z13","Valfleur Clinic")</f>
        <v>Valfleur Clinic</v>
      </c>
      <c r="C23" s="41" t="s">
        <v>15</v>
      </c>
      <c r="D23" s="41" t="s">
        <v>292</v>
      </c>
      <c r="E23" s="41" t="s">
        <v>371</v>
      </c>
      <c r="F23" s="37" t="s">
        <v>5119</v>
      </c>
      <c r="G23" s="3"/>
    </row>
    <row r="24" spans="1:7" ht="15.75" customHeight="1">
      <c r="A24" s="40">
        <v>20</v>
      </c>
      <c r="B24" s="37" t="str">
        <f>HYPERLINK("https://www.cmva92.com/","Ville d'Avray Medical Clinic")</f>
        <v>Ville d'Avray Medical Clinic</v>
      </c>
      <c r="C24" s="41" t="s">
        <v>15</v>
      </c>
      <c r="D24" s="41" t="s">
        <v>292</v>
      </c>
      <c r="E24" s="41" t="s">
        <v>5034</v>
      </c>
      <c r="F24" s="37" t="s">
        <v>5120</v>
      </c>
      <c r="G24" s="3"/>
    </row>
    <row r="25" spans="1:7" ht="15.75" customHeight="1">
      <c r="A25" s="40">
        <v>21</v>
      </c>
      <c r="B25" s="37" t="str">
        <f>HYPERLINK("https://www.asklepios.com/hamburg/nord/psychiatrie-ochsenzoll/","Asklepios Clinic North - Ochsenzoll")</f>
        <v>Asklepios Clinic North - Ochsenzoll</v>
      </c>
      <c r="C25" s="41" t="s">
        <v>15</v>
      </c>
      <c r="D25" s="41" t="s">
        <v>295</v>
      </c>
      <c r="E25" s="41" t="s">
        <v>392</v>
      </c>
      <c r="F25" s="37" t="s">
        <v>5121</v>
      </c>
      <c r="G25" s="3"/>
    </row>
    <row r="26" spans="1:7" ht="15.75" customHeight="1">
      <c r="A26" s="40">
        <v>22</v>
      </c>
      <c r="B26" s="37" t="str">
        <f>HYPERLINK("https://www.awo-psychiatriezentrum.de/","AWO Psychiatry Center")</f>
        <v>AWO Psychiatry Center</v>
      </c>
      <c r="C26" s="41" t="s">
        <v>15</v>
      </c>
      <c r="D26" s="41" t="s">
        <v>295</v>
      </c>
      <c r="E26" s="41" t="s">
        <v>5034</v>
      </c>
      <c r="F26" s="37" t="s">
        <v>5122</v>
      </c>
      <c r="G26" s="3"/>
    </row>
    <row r="27" spans="1:7" ht="15.75" customHeight="1">
      <c r="A27" s="40">
        <v>23</v>
      </c>
      <c r="B27" s="37" t="str">
        <f>HYPERLINK("https://www.akutklinik-badsaulgau.de/","Bad Saulgau Acute Clinic")</f>
        <v>Bad Saulgau Acute Clinic</v>
      </c>
      <c r="C27" s="41" t="s">
        <v>15</v>
      </c>
      <c r="D27" s="41" t="s">
        <v>295</v>
      </c>
      <c r="E27" s="41" t="s">
        <v>392</v>
      </c>
      <c r="F27" s="37" t="s">
        <v>5123</v>
      </c>
      <c r="G27" s="3"/>
    </row>
    <row r="28" spans="1:7" ht="15.75" customHeight="1">
      <c r="A28" s="40">
        <v>24</v>
      </c>
      <c r="B28" s="37" t="str">
        <f>HYPERLINK("https://www.salus-lsa.de/kliniken-einrichtungen-leistungen/fachklinikum-bernburg/kliniken-leistungen/kliniken/psychiatrie-und-psychotherapie/psychiatrie-psychotherapie-und-psychosomatik","Bernburg Specialist Clinic")</f>
        <v>Bernburg Specialist Clinic</v>
      </c>
      <c r="C28" s="41" t="s">
        <v>15</v>
      </c>
      <c r="D28" s="41" t="s">
        <v>295</v>
      </c>
      <c r="E28" s="41" t="s">
        <v>371</v>
      </c>
      <c r="F28" s="37" t="s">
        <v>5124</v>
      </c>
      <c r="G28" s="3"/>
    </row>
    <row r="29" spans="1:7" ht="15.75" customHeight="1">
      <c r="A29" s="40">
        <v>25</v>
      </c>
      <c r="B29" s="37" t="str">
        <f>HYPERLINK("https://evkb.de/kliniken-zentren/psyche-nerven/psychiatrie-und-psychotherapie/ueber-uns","Bethel Evangelisches Hospital")</f>
        <v>Bethel Evangelisches Hospital</v>
      </c>
      <c r="C29" s="41" t="s">
        <v>15</v>
      </c>
      <c r="D29" s="41" t="s">
        <v>295</v>
      </c>
      <c r="E29" s="41" t="s">
        <v>371</v>
      </c>
      <c r="F29" s="37" t="s">
        <v>5125</v>
      </c>
      <c r="G29" s="3"/>
    </row>
    <row r="30" spans="1:7" ht="15.75" customHeight="1">
      <c r="A30" s="40">
        <v>26</v>
      </c>
      <c r="B30" s="37" t="str">
        <f>HYPERLINK("https://www.klinikum-weissenhof.de/","Center for Psychiatry Weinsberg")</f>
        <v>Center for Psychiatry Weinsberg</v>
      </c>
      <c r="C30" s="41" t="s">
        <v>15</v>
      </c>
      <c r="D30" s="41" t="s">
        <v>295</v>
      </c>
      <c r="E30" s="41" t="s">
        <v>371</v>
      </c>
      <c r="F30" s="37" t="s">
        <v>5126</v>
      </c>
      <c r="G30" s="3"/>
    </row>
    <row r="31" spans="1:7" ht="15.75" customHeight="1">
      <c r="A31" s="40">
        <v>27</v>
      </c>
      <c r="B31" s="37" t="str">
        <f>HYPERLINK("https://www.christoph-dornier-klinik.de/de/startseite.html","Christoph-Dornier-Klinik")</f>
        <v>Christoph-Dornier-Klinik</v>
      </c>
      <c r="C31" s="41" t="s">
        <v>15</v>
      </c>
      <c r="D31" s="41" t="s">
        <v>295</v>
      </c>
      <c r="E31" s="41" t="s">
        <v>392</v>
      </c>
      <c r="F31" s="37" t="s">
        <v>5127</v>
      </c>
      <c r="G31" s="3"/>
    </row>
    <row r="32" spans="1:7" ht="15.75" customHeight="1">
      <c r="A32" s="40">
        <v>28</v>
      </c>
      <c r="B32" s="37" t="str">
        <f>HYPERLINK("https://www.zfp-emmendingen.de/psychotische-stoerungen-schizophrenien","Emmendingen Center for Psychiatry (ZfP)")</f>
        <v>Emmendingen Center for Psychiatry (ZfP)</v>
      </c>
      <c r="C32" s="41" t="s">
        <v>15</v>
      </c>
      <c r="D32" s="41" t="s">
        <v>295</v>
      </c>
      <c r="E32" s="41" t="s">
        <v>371</v>
      </c>
      <c r="F32" s="37" t="s">
        <v>5128</v>
      </c>
      <c r="G32" s="3"/>
    </row>
    <row r="33" spans="1:7" ht="15.75" customHeight="1">
      <c r="A33" s="40">
        <v>29</v>
      </c>
      <c r="B33" s="37" t="str">
        <f>HYPERLINK("https://janus-klinik.de/","Janus Clinic Hürth")</f>
        <v>Janus Clinic Hürth</v>
      </c>
      <c r="C33" s="41" t="s">
        <v>15</v>
      </c>
      <c r="D33" s="41" t="s">
        <v>295</v>
      </c>
      <c r="E33" s="41" t="s">
        <v>392</v>
      </c>
      <c r="F33" s="37" t="s">
        <v>5129</v>
      </c>
      <c r="G33" s="3"/>
    </row>
    <row r="34" spans="1:7" ht="15.75" customHeight="1">
      <c r="A34" s="40">
        <v>30</v>
      </c>
      <c r="B34" s="37" t="str">
        <f>HYPERLINK("https://www.libermenta.com/","Libermenta Clinic")</f>
        <v>Libermenta Clinic</v>
      </c>
      <c r="C34" s="41" t="s">
        <v>15</v>
      </c>
      <c r="D34" s="41" t="s">
        <v>295</v>
      </c>
      <c r="E34" s="41" t="s">
        <v>392</v>
      </c>
      <c r="F34" s="37" t="s">
        <v>5130</v>
      </c>
      <c r="G34" s="3"/>
    </row>
    <row r="35" spans="1:7" ht="15.75" customHeight="1">
      <c r="A35" s="40">
        <v>31</v>
      </c>
      <c r="B35" s="37" t="str">
        <f>HYPERLINK("https://www.limes-schlossklinik-fuerstenhof.de/","LIMES Schlossklinik Fürstenhof")</f>
        <v>LIMES Schlossklinik Fürstenhof</v>
      </c>
      <c r="C35" s="41" t="s">
        <v>15</v>
      </c>
      <c r="D35" s="41" t="s">
        <v>295</v>
      </c>
      <c r="E35" s="41" t="s">
        <v>392</v>
      </c>
      <c r="F35" s="37" t="s">
        <v>5131</v>
      </c>
      <c r="G35" s="3"/>
    </row>
    <row r="36" spans="1:7" ht="15.75" customHeight="1">
      <c r="A36" s="40">
        <v>32</v>
      </c>
      <c r="B36" s="37" t="str">
        <f>HYPERLINK("https://www.limes-schlosskliniken.de/","LIMES Schlossklinik Mecklenburgische Schweiz")</f>
        <v>LIMES Schlossklinik Mecklenburgische Schweiz</v>
      </c>
      <c r="C36" s="41" t="s">
        <v>15</v>
      </c>
      <c r="D36" s="41" t="s">
        <v>295</v>
      </c>
      <c r="E36" s="41" t="s">
        <v>5034</v>
      </c>
      <c r="F36" s="37" t="s">
        <v>5132</v>
      </c>
      <c r="G36" s="3"/>
    </row>
    <row r="37" spans="1:7" ht="15.75" customHeight="1">
      <c r="A37" s="40">
        <v>33</v>
      </c>
      <c r="B37" s="37" t="str">
        <f>HYPERLINK("https://mhiberlin.de/en/private-psychiatric-clinic","Mental Health Institute Berlin")</f>
        <v>Mental Health Institute Berlin</v>
      </c>
      <c r="C37" s="41" t="s">
        <v>15</v>
      </c>
      <c r="D37" s="41" t="s">
        <v>295</v>
      </c>
      <c r="E37" s="41" t="s">
        <v>371</v>
      </c>
      <c r="F37" s="37" t="s">
        <v>5133</v>
      </c>
      <c r="G37" s="3"/>
    </row>
    <row r="38" spans="1:7" ht="15.75" customHeight="1">
      <c r="A38" s="40">
        <v>34</v>
      </c>
      <c r="B38" s="37" t="str">
        <f>HYPERLINK("https://www.oberbergkliniken.de/fachkliniken/rhein-jura#c2314","Oberberg Fachklinik Rhein-Jura")</f>
        <v>Oberberg Fachklinik Rhein-Jura</v>
      </c>
      <c r="C38" s="41" t="s">
        <v>15</v>
      </c>
      <c r="D38" s="41" t="s">
        <v>295</v>
      </c>
      <c r="E38" s="41" t="s">
        <v>392</v>
      </c>
      <c r="F38" s="37" t="s">
        <v>5134</v>
      </c>
      <c r="G38" s="3"/>
    </row>
    <row r="39" spans="1:7" ht="15.75" customHeight="1">
      <c r="A39" s="40">
        <v>35</v>
      </c>
      <c r="B39" s="37" t="str">
        <f>HYPERLINK("https://www.oberbergkliniken.de/fachkliniken/koeln-huerth#c2621","Oberberg Somnia Specialist Clinic Cologne Hürth")</f>
        <v>Oberberg Somnia Specialist Clinic Cologne Hürth</v>
      </c>
      <c r="C39" s="41" t="s">
        <v>15</v>
      </c>
      <c r="D39" s="41" t="s">
        <v>295</v>
      </c>
      <c r="E39" s="41" t="s">
        <v>392</v>
      </c>
      <c r="F39" s="37" t="s">
        <v>5135</v>
      </c>
      <c r="G39" s="3"/>
    </row>
    <row r="40" spans="1:7" ht="15.75" customHeight="1">
      <c r="A40" s="40">
        <v>36</v>
      </c>
      <c r="B40" s="37" t="str">
        <f>HYPERLINK("https://www.oberbergkliniken.de/fachkliniken/duesseldorf-kaarst","Oberberg Specialist Clinic Düsseldorf Kaarst")</f>
        <v>Oberberg Specialist Clinic Düsseldorf Kaarst</v>
      </c>
      <c r="C40" s="41" t="s">
        <v>15</v>
      </c>
      <c r="D40" s="41" t="s">
        <v>295</v>
      </c>
      <c r="E40" s="41" t="s">
        <v>392</v>
      </c>
      <c r="F40" s="37" t="s">
        <v>5136</v>
      </c>
      <c r="G40" s="3"/>
    </row>
    <row r="41" spans="1:7" ht="15.75" customHeight="1">
      <c r="A41" s="40">
        <v>37</v>
      </c>
      <c r="B41" s="37" t="str">
        <f>HYPERLINK("https://www.oberbergkliniken.de/fachkliniken/weserbergland","Oberberg Specialist Clinic Weserbergland")</f>
        <v>Oberberg Specialist Clinic Weserbergland</v>
      </c>
      <c r="C41" s="41" t="s">
        <v>15</v>
      </c>
      <c r="D41" s="41" t="s">
        <v>295</v>
      </c>
      <c r="E41" s="41" t="s">
        <v>392</v>
      </c>
      <c r="F41" s="37" t="s">
        <v>5137</v>
      </c>
      <c r="G41" s="3"/>
    </row>
    <row r="42" spans="1:7" ht="15.75" customHeight="1">
      <c r="A42" s="40">
        <v>38</v>
      </c>
      <c r="B42" s="37" t="str">
        <f>HYPERLINK("https://www.heiligenfeld.de/kliniken/parkklinik-heiligenfeld","Parkklinik Heiligenfeld")</f>
        <v>Parkklinik Heiligenfeld</v>
      </c>
      <c r="C42" s="41" t="s">
        <v>15</v>
      </c>
      <c r="D42" s="41" t="s">
        <v>295</v>
      </c>
      <c r="E42" s="41" t="s">
        <v>5034</v>
      </c>
      <c r="F42" s="37" t="s">
        <v>5138</v>
      </c>
      <c r="G42" s="3"/>
    </row>
    <row r="43" spans="1:7" ht="15.75" customHeight="1">
      <c r="A43" s="40">
        <v>39</v>
      </c>
      <c r="B43" s="37" t="str">
        <f>HYPERLINK("https://www.pzn-wiesloch.de/","Psychiatric Center North Baden (PZN)")</f>
        <v>Psychiatric Center North Baden (PZN)</v>
      </c>
      <c r="C43" s="41" t="s">
        <v>15</v>
      </c>
      <c r="D43" s="41" t="s">
        <v>295</v>
      </c>
      <c r="E43" s="41" t="s">
        <v>371</v>
      </c>
      <c r="F43" s="37" t="s">
        <v>5139</v>
      </c>
      <c r="G43" s="3"/>
    </row>
    <row r="44" spans="1:7" ht="15.75" customHeight="1">
      <c r="A44" s="40">
        <v>40</v>
      </c>
      <c r="B44" s="37" t="str">
        <f>HYPERLINK("https://www.psychosomatik-diessen.de/","Psychosomatic Clinic Kloster Dießen GmbH &amp; Co. KG")</f>
        <v>Psychosomatic Clinic Kloster Dießen GmbH &amp; Co. KG</v>
      </c>
      <c r="C44" s="41" t="s">
        <v>15</v>
      </c>
      <c r="D44" s="41" t="s">
        <v>295</v>
      </c>
      <c r="E44" s="41" t="s">
        <v>392</v>
      </c>
      <c r="F44" s="37" t="s">
        <v>5140</v>
      </c>
      <c r="G44" s="3"/>
    </row>
    <row r="45" spans="1:7" ht="15.75" customHeight="1">
      <c r="A45" s="40">
        <v>41</v>
      </c>
      <c r="B45" s="37" t="str">
        <f>HYPERLINK("https://sanima-klinik.de/","Sanima Clinic at Mayenberg")</f>
        <v>Sanima Clinic at Mayenberg</v>
      </c>
      <c r="C45" s="41" t="s">
        <v>15</v>
      </c>
      <c r="D45" s="41" t="s">
        <v>295</v>
      </c>
      <c r="E45" s="41" t="s">
        <v>392</v>
      </c>
      <c r="F45" s="37" t="s">
        <v>5141</v>
      </c>
      <c r="G45" s="3"/>
    </row>
    <row r="46" spans="1:7" ht="15.75" customHeight="1">
      <c r="A46" s="40">
        <v>42</v>
      </c>
      <c r="B46" s="37" t="str">
        <f>HYPERLINK("https://www.parkkliniken-charlottenburg.de/de/Medizin/Fachbereiche/Psychiatrie_Psychotherapie/","Schlosspark Clinic Charlottenburg")</f>
        <v>Schlosspark Clinic Charlottenburg</v>
      </c>
      <c r="C46" s="41" t="s">
        <v>15</v>
      </c>
      <c r="D46" s="41" t="s">
        <v>295</v>
      </c>
      <c r="E46" s="41" t="s">
        <v>5034</v>
      </c>
      <c r="F46" s="37" t="s">
        <v>5142</v>
      </c>
      <c r="G46" s="3"/>
    </row>
    <row r="47" spans="1:7" ht="15.75" customHeight="1">
      <c r="A47" s="40">
        <v>43</v>
      </c>
      <c r="B47" s="37" t="str">
        <f>HYPERLINK("https://www.schoen-klinik.de/bad-arolsen","Schön Klinik Bad Arolsen")</f>
        <v>Schön Klinik Bad Arolsen</v>
      </c>
      <c r="C47" s="41" t="s">
        <v>15</v>
      </c>
      <c r="D47" s="41" t="s">
        <v>295</v>
      </c>
      <c r="E47" s="41" t="s">
        <v>392</v>
      </c>
      <c r="F47" s="37" t="s">
        <v>5143</v>
      </c>
      <c r="G47" s="3"/>
    </row>
    <row r="48" spans="1:7" ht="15.75" customHeight="1">
      <c r="A48" s="40">
        <v>44</v>
      </c>
      <c r="B48" s="37" t="str">
        <f>HYPERLINK("https://www.ipu-berlin.de/en/psychoseambulanz-berlin/","The Psychosis Outpatient Clinic Berlin")</f>
        <v>The Psychosis Outpatient Clinic Berlin</v>
      </c>
      <c r="C48" s="41" t="s">
        <v>15</v>
      </c>
      <c r="D48" s="41" t="s">
        <v>295</v>
      </c>
      <c r="E48" s="41" t="s">
        <v>371</v>
      </c>
      <c r="F48" s="37" t="s">
        <v>5144</v>
      </c>
      <c r="G48" s="3"/>
    </row>
    <row r="49" spans="1:7" ht="15.75" customHeight="1">
      <c r="A49" s="40">
        <v>45</v>
      </c>
      <c r="B49" s="37" t="str">
        <f>HYPERLINK("https://www.vincera-kliniken.de/kliniken/bad-waldsee/","VINCERA Bad Waldsee")</f>
        <v>VINCERA Bad Waldsee</v>
      </c>
      <c r="C49" s="41" t="s">
        <v>15</v>
      </c>
      <c r="D49" s="41" t="s">
        <v>295</v>
      </c>
      <c r="E49" s="41" t="s">
        <v>5034</v>
      </c>
      <c r="F49" s="37" t="s">
        <v>5145</v>
      </c>
      <c r="G49" s="3"/>
    </row>
    <row r="50" spans="1:7" ht="15.75" customHeight="1">
      <c r="A50" s="40">
        <v>46</v>
      </c>
      <c r="B50" s="37" t="str">
        <f>HYPERLINK("https://www.vitos.de/gesellschaften/vitos-hochtaunus/einrichtungen/vitos-klinik-fuer-psychiatrie-und-psychotherapie-bad-homburg/klinikprofil/","Vitos Clinic for Psychiatry and Psychotherapy Bad Homburg")</f>
        <v>Vitos Clinic for Psychiatry and Psychotherapy Bad Homburg</v>
      </c>
      <c r="C50" s="41" t="s">
        <v>15</v>
      </c>
      <c r="D50" s="41" t="s">
        <v>295</v>
      </c>
      <c r="E50" s="41" t="s">
        <v>392</v>
      </c>
      <c r="F50" s="37" t="s">
        <v>5146</v>
      </c>
      <c r="G50" s="3"/>
    </row>
    <row r="51" spans="1:7" ht="15.75" customHeight="1">
      <c r="A51" s="40">
        <v>47</v>
      </c>
      <c r="B51" s="37" t="str">
        <f>HYPERLINK("https://www.vivantes.de/klinikum-neukoelln/psychiatrie-psychotherapie-und-psychosomatik","Vivantes Clinic Neukölln")</f>
        <v>Vivantes Clinic Neukölln</v>
      </c>
      <c r="C51" s="41" t="s">
        <v>15</v>
      </c>
      <c r="D51" s="41" t="s">
        <v>295</v>
      </c>
      <c r="E51" s="41" t="s">
        <v>371</v>
      </c>
      <c r="F51" s="37" t="s">
        <v>5147</v>
      </c>
      <c r="G51" s="3"/>
    </row>
    <row r="52" spans="1:7" ht="15.75" customHeight="1">
      <c r="A52" s="40">
        <v>48</v>
      </c>
      <c r="B52" s="37" t="str">
        <f>HYPERLINK("https://www.parcotigli.it/patologie/disturbi-schizofrenici-e-psicosi","Casa di Cura Parco dei Tigli")</f>
        <v>Casa di Cura Parco dei Tigli</v>
      </c>
      <c r="C52" s="41" t="s">
        <v>15</v>
      </c>
      <c r="D52" s="41" t="s">
        <v>16</v>
      </c>
      <c r="E52" s="41" t="s">
        <v>392</v>
      </c>
      <c r="F52" s="37" t="s">
        <v>5148</v>
      </c>
      <c r="G52" s="3"/>
    </row>
    <row r="53" spans="1:7" ht="15.75" customHeight="1">
      <c r="A53" s="40">
        <v>49</v>
      </c>
      <c r="B53" s="37" t="str">
        <f>HYPERLINK("https://neomesia.com/casa-mioglia","Casa Mioglia Psychiatric Therapeutic Community")</f>
        <v>Casa Mioglia Psychiatric Therapeutic Community</v>
      </c>
      <c r="C53" s="41" t="s">
        <v>15</v>
      </c>
      <c r="D53" s="41" t="s">
        <v>16</v>
      </c>
      <c r="E53" s="41" t="s">
        <v>392</v>
      </c>
      <c r="F53" s="37" t="s">
        <v>5149</v>
      </c>
      <c r="G53" s="3"/>
    </row>
    <row r="54" spans="1:7" ht="15.75" customHeight="1">
      <c r="A54" s="40">
        <v>50</v>
      </c>
      <c r="B54" s="37" t="str">
        <f>HYPERLINK("https://neomesia.com/casa-pero","Casa Pero Psychiatric Therapeutic Community")</f>
        <v>Casa Pero Psychiatric Therapeutic Community</v>
      </c>
      <c r="C54" s="41" t="s">
        <v>15</v>
      </c>
      <c r="D54" s="41" t="s">
        <v>16</v>
      </c>
      <c r="E54" s="41" t="s">
        <v>392</v>
      </c>
      <c r="F54" s="37" t="s">
        <v>5150</v>
      </c>
      <c r="G54" s="3"/>
    </row>
    <row r="55" spans="1:7" ht="15.75" customHeight="1">
      <c r="A55" s="40">
        <v>51</v>
      </c>
      <c r="B55" s="37" t="str">
        <f>HYPERLINK("https://neomesia.com/casa-varazze","Casa Varazze")</f>
        <v>Casa Varazze</v>
      </c>
      <c r="C55" s="41" t="s">
        <v>15</v>
      </c>
      <c r="D55" s="41" t="s">
        <v>16</v>
      </c>
      <c r="E55" s="41" t="s">
        <v>371</v>
      </c>
      <c r="F55" s="37" t="s">
        <v>5151</v>
      </c>
      <c r="G55" s="3"/>
    </row>
    <row r="56" spans="1:7" ht="15.75" customHeight="1">
      <c r="A56" s="40">
        <v>52</v>
      </c>
      <c r="B56" s="37" t="str">
        <f>HYPERLINK("https://neomesia.com/casa-villa-margherita","Casa Villa Margherita")</f>
        <v>Casa Villa Margherita</v>
      </c>
      <c r="C56" s="41" t="s">
        <v>15</v>
      </c>
      <c r="D56" s="41" t="s">
        <v>16</v>
      </c>
      <c r="E56" s="41" t="s">
        <v>392</v>
      </c>
      <c r="F56" s="37" t="s">
        <v>5152</v>
      </c>
      <c r="G56" s="3"/>
    </row>
    <row r="57" spans="1:7" ht="15.75" customHeight="1">
      <c r="A57" s="40">
        <v>53</v>
      </c>
      <c r="B57" s="37" t="str">
        <f>HYPERLINK("https://neomesia.com/la-corte-di-carcare","Corte Carcare")</f>
        <v>Corte Carcare</v>
      </c>
      <c r="C57" s="41" t="s">
        <v>15</v>
      </c>
      <c r="D57" s="41" t="s">
        <v>16</v>
      </c>
      <c r="E57" s="41" t="s">
        <v>392</v>
      </c>
      <c r="F57" s="37" t="s">
        <v>5153</v>
      </c>
      <c r="G57" s="3"/>
    </row>
    <row r="58" spans="1:7" ht="15.75" customHeight="1">
      <c r="A58" s="40">
        <v>54</v>
      </c>
      <c r="B58" s="37" t="str">
        <f>HYPERLINK("https://neomesia.com/la-corte-di-orero","Corte Orero Psychiatric Therapeutic Community")</f>
        <v>Corte Orero Psychiatric Therapeutic Community</v>
      </c>
      <c r="C58" s="41" t="s">
        <v>15</v>
      </c>
      <c r="D58" s="41" t="s">
        <v>16</v>
      </c>
      <c r="E58" s="41" t="s">
        <v>392</v>
      </c>
      <c r="F58" s="37" t="s">
        <v>5154</v>
      </c>
      <c r="G58" s="3"/>
    </row>
    <row r="59" spans="1:7" ht="15.75" customHeight="1">
      <c r="A59" s="40">
        <v>55</v>
      </c>
      <c r="B59" s="37" t="str">
        <f>HYPERLINK("https://www.ospedalemarialuigia.it/riabilitazione-psichiatrica/","General Psychiatry and Psychiatric Rehabilitation Program at Maria Luigia Hospital")</f>
        <v>General Psychiatry and Psychiatric Rehabilitation Program at Maria Luigia Hospital</v>
      </c>
      <c r="C59" s="41" t="s">
        <v>15</v>
      </c>
      <c r="D59" s="41" t="s">
        <v>16</v>
      </c>
      <c r="E59" s="41" t="s">
        <v>5108</v>
      </c>
      <c r="F59" s="37" t="s">
        <v>5155</v>
      </c>
      <c r="G59" s="3"/>
    </row>
    <row r="60" spans="1:7" ht="15.75" customHeight="1">
      <c r="A60" s="40">
        <v>56</v>
      </c>
      <c r="B60" s="37" t="str">
        <f>HYPERLINK("https://www.santannacasale.it/aree-di-riabilitazione/","Nuova Casa di Cura Sant’Anna Private Clinic")</f>
        <v>Nuova Casa di Cura Sant’Anna Private Clinic</v>
      </c>
      <c r="C60" s="41" t="s">
        <v>15</v>
      </c>
      <c r="D60" s="41" t="s">
        <v>16</v>
      </c>
      <c r="E60" s="41" t="s">
        <v>371</v>
      </c>
      <c r="F60" s="37" t="s">
        <v>5156</v>
      </c>
      <c r="G60" s="3"/>
    </row>
    <row r="61" spans="1:7" ht="15.75" customHeight="1">
      <c r="A61" s="40">
        <v>57</v>
      </c>
      <c r="B61" s="37" t="str">
        <f>HYPERLINK("https://www.grupposandonato.it/strutture/istituti-clinici-zucchi-carate-brianza/unita-operativa-psichiatria","Psychiatry Operating Unit of Zucchi Clinical Institutes")</f>
        <v>Psychiatry Operating Unit of Zucchi Clinical Institutes</v>
      </c>
      <c r="C61" s="41" t="s">
        <v>15</v>
      </c>
      <c r="D61" s="41" t="s">
        <v>16</v>
      </c>
      <c r="E61" s="41" t="s">
        <v>5034</v>
      </c>
      <c r="F61" s="37" t="s">
        <v>5157</v>
      </c>
      <c r="G61" s="3"/>
    </row>
    <row r="62" spans="1:7" ht="15.75" customHeight="1">
      <c r="A62" s="40">
        <v>58</v>
      </c>
      <c r="B62" s="37" t="str">
        <f>HYPERLINK("https://upmc.it/en/locations/salvator-mundi/services/psychology","UPMC Salvator Mundi International Hospital")</f>
        <v>UPMC Salvator Mundi International Hospital</v>
      </c>
      <c r="C62" s="41" t="s">
        <v>15</v>
      </c>
      <c r="D62" s="41" t="s">
        <v>16</v>
      </c>
      <c r="E62" s="41" t="s">
        <v>392</v>
      </c>
      <c r="F62" s="37" t="s">
        <v>5158</v>
      </c>
      <c r="G62" s="3"/>
    </row>
    <row r="63" spans="1:7" ht="15.75" customHeight="1">
      <c r="A63" s="40">
        <v>59</v>
      </c>
      <c r="B63" s="37" t="str">
        <f>HYPERLINK("https://neomesia.com/villa-dei-pini/","Villa dei Pini Psychiatric Clinic")</f>
        <v>Villa dei Pini Psychiatric Clinic</v>
      </c>
      <c r="C63" s="41" t="s">
        <v>15</v>
      </c>
      <c r="D63" s="41" t="s">
        <v>16</v>
      </c>
      <c r="E63" s="41" t="s">
        <v>392</v>
      </c>
      <c r="F63" s="37" t="s">
        <v>5159</v>
      </c>
      <c r="G63" s="3"/>
    </row>
    <row r="64" spans="1:7" ht="15.75" customHeight="1">
      <c r="A64" s="40">
        <v>60</v>
      </c>
      <c r="B64" s="37" t="str">
        <f>HYPERLINK("https://neomesia.com/villa-jolanda","Villa Jolanda Psychiatric Specialist Clinic")</f>
        <v>Villa Jolanda Psychiatric Specialist Clinic</v>
      </c>
      <c r="C64" s="41" t="s">
        <v>15</v>
      </c>
      <c r="D64" s="41" t="s">
        <v>16</v>
      </c>
      <c r="E64" s="41" t="s">
        <v>5160</v>
      </c>
      <c r="F64" s="37" t="s">
        <v>5161</v>
      </c>
      <c r="G64" s="3"/>
    </row>
    <row r="65" spans="1:7" ht="15.75" customHeight="1">
      <c r="A65" s="40">
        <v>61</v>
      </c>
      <c r="B65" s="37" t="str">
        <f>HYPERLINK("https://neomesia.com/villa-sant-alessandro","Villa Sant'Alessandro Psychiatric Specialist Clinic")</f>
        <v>Villa Sant'Alessandro Psychiatric Specialist Clinic</v>
      </c>
      <c r="C65" s="41" t="s">
        <v>15</v>
      </c>
      <c r="D65" s="41" t="s">
        <v>16</v>
      </c>
      <c r="E65" s="41" t="s">
        <v>5160</v>
      </c>
      <c r="F65" s="37" t="s">
        <v>5162</v>
      </c>
      <c r="G65" s="3"/>
    </row>
    <row r="66" spans="1:7" ht="15.75" customHeight="1">
      <c r="A66" s="40">
        <v>62</v>
      </c>
      <c r="B66" s="37" t="str">
        <f>HYPERLINK("https://neomesia.com/ville-di-nozzano","Ville di Nozzano Psychiatric Specialist Clinic")</f>
        <v>Ville di Nozzano Psychiatric Specialist Clinic</v>
      </c>
      <c r="C66" s="41" t="s">
        <v>15</v>
      </c>
      <c r="D66" s="41" t="s">
        <v>16</v>
      </c>
      <c r="E66" s="41" t="s">
        <v>5034</v>
      </c>
      <c r="F66" s="37" t="s">
        <v>5163</v>
      </c>
      <c r="G66" s="3"/>
    </row>
    <row r="67" spans="1:7" ht="15.75" customHeight="1">
      <c r="A67" s="40">
        <v>63</v>
      </c>
      <c r="B67" s="37" t="str">
        <f>HYPERLINK("https://chiakiclinic.littlestar.jp/index.html","Chiaki Clinic")</f>
        <v>Chiaki Clinic</v>
      </c>
      <c r="C67" s="41" t="s">
        <v>15</v>
      </c>
      <c r="D67" s="41" t="s">
        <v>316</v>
      </c>
      <c r="E67" s="41" t="s">
        <v>371</v>
      </c>
      <c r="F67" s="37" t="s">
        <v>5164</v>
      </c>
      <c r="G67" s="3"/>
    </row>
    <row r="68" spans="1:7" ht="15.75" customHeight="1">
      <c r="A68" s="40">
        <v>64</v>
      </c>
      <c r="B68" s="37" t="str">
        <f>HYPERLINK("https://www.cocoro-yokohama.com/","Cocorono Clinic, Yokohama Station")</f>
        <v>Cocorono Clinic, Yokohama Station</v>
      </c>
      <c r="C68" s="41" t="s">
        <v>15</v>
      </c>
      <c r="D68" s="41" t="s">
        <v>316</v>
      </c>
      <c r="E68" s="41" t="s">
        <v>371</v>
      </c>
      <c r="F68" s="37" t="s">
        <v>5165</v>
      </c>
      <c r="G68" s="3"/>
    </row>
    <row r="69" spans="1:7" ht="15.75" customHeight="1">
      <c r="A69" s="40">
        <v>65</v>
      </c>
      <c r="B69" s="37" t="str">
        <f>HYPERLINK("https://hajime-mental.jp/about/271/","Hajime Mental Clinic")</f>
        <v>Hajime Mental Clinic</v>
      </c>
      <c r="C69" s="41" t="s">
        <v>15</v>
      </c>
      <c r="D69" s="41" t="s">
        <v>316</v>
      </c>
      <c r="E69" s="41" t="s">
        <v>371</v>
      </c>
      <c r="F69" s="37" t="s">
        <v>5166</v>
      </c>
      <c r="G69" s="3"/>
    </row>
    <row r="70" spans="1:7" ht="15.75" customHeight="1">
      <c r="A70" s="40">
        <v>66</v>
      </c>
      <c r="B70" s="37" t="str">
        <f>HYPERLINK("https://psyche.clinic/english/","Ikegami Mental Health Clinic")</f>
        <v>Ikegami Mental Health Clinic</v>
      </c>
      <c r="C70" s="41" t="s">
        <v>15</v>
      </c>
      <c r="D70" s="41" t="s">
        <v>316</v>
      </c>
      <c r="E70" s="41" t="s">
        <v>392</v>
      </c>
      <c r="F70" s="37" t="s">
        <v>5167</v>
      </c>
      <c r="G70" s="3"/>
    </row>
    <row r="71" spans="1:7" ht="15.75" customHeight="1">
      <c r="A71" s="40">
        <v>67</v>
      </c>
      <c r="B71" s="37" t="str">
        <f>HYPERLINK("https://www.kichijoji-hospital.com/tougo/index.html","Kichijoji Hospital")</f>
        <v>Kichijoji Hospital</v>
      </c>
      <c r="C71" s="41" t="s">
        <v>15</v>
      </c>
      <c r="D71" s="41" t="s">
        <v>316</v>
      </c>
      <c r="E71" s="41" t="s">
        <v>371</v>
      </c>
      <c r="F71" s="37" t="s">
        <v>5168</v>
      </c>
      <c r="G71" s="3"/>
    </row>
    <row r="72" spans="1:7" ht="15.75" customHeight="1">
      <c r="A72" s="40">
        <v>68</v>
      </c>
      <c r="B72" s="37" t="str">
        <f>HYPERLINK("https://kitatoda-matsumoto.com/%E7%B5%B1%E5%90%88%E5%A4%B1%E8%AA%BF%E7%97%87","Kitatoda Ekimae Matsumoto Clinic")</f>
        <v>Kitatoda Ekimae Matsumoto Clinic</v>
      </c>
      <c r="C72" s="41" t="s">
        <v>15</v>
      </c>
      <c r="D72" s="41" t="s">
        <v>316</v>
      </c>
      <c r="E72" s="41" t="s">
        <v>371</v>
      </c>
      <c r="F72" s="37" t="s">
        <v>5169</v>
      </c>
      <c r="G72" s="3"/>
    </row>
    <row r="73" spans="1:7" ht="15.75" customHeight="1">
      <c r="A73" s="40">
        <v>69</v>
      </c>
      <c r="B73" s="37" t="str">
        <f>HYPERLINK("https://www.nankai.biz/symptom/into.html","Nankai Clinic")</f>
        <v>Nankai Clinic</v>
      </c>
      <c r="C73" s="41" t="s">
        <v>15</v>
      </c>
      <c r="D73" s="41" t="s">
        <v>316</v>
      </c>
      <c r="E73" s="41" t="s">
        <v>371</v>
      </c>
      <c r="F73" s="37" t="s">
        <v>5170</v>
      </c>
      <c r="G73" s="3"/>
    </row>
    <row r="74" spans="1:7" ht="15.75" customHeight="1">
      <c r="A74" s="40">
        <v>70</v>
      </c>
      <c r="B74" s="37" t="str">
        <f>HYPERLINK("https://omiya-mental-clinic.jp/menu/disease/schizophrenia/","Omiya Kokoro no Clinic")</f>
        <v>Omiya Kokoro no Clinic</v>
      </c>
      <c r="C74" s="41" t="s">
        <v>15</v>
      </c>
      <c r="D74" s="41" t="s">
        <v>316</v>
      </c>
      <c r="E74" s="41" t="s">
        <v>371</v>
      </c>
      <c r="F74" s="37" t="s">
        <v>5171</v>
      </c>
      <c r="G74" s="3"/>
    </row>
    <row r="75" spans="1:7" ht="15.75" customHeight="1">
      <c r="A75" s="40">
        <v>71</v>
      </c>
      <c r="B75" s="37" t="str">
        <f>HYPERLINK("https://www.tokyomentalhealth.com/tokyo-psychiatry/","Psychiatry Clinic at American Clinic Tokyo")</f>
        <v>Psychiatry Clinic at American Clinic Tokyo</v>
      </c>
      <c r="C75" s="41" t="s">
        <v>15</v>
      </c>
      <c r="D75" s="41" t="s">
        <v>316</v>
      </c>
      <c r="E75" s="41" t="s">
        <v>5034</v>
      </c>
      <c r="F75" s="37" t="s">
        <v>5172</v>
      </c>
      <c r="G75" s="3"/>
    </row>
    <row r="76" spans="1:7" ht="15.75" customHeight="1">
      <c r="A76" s="40">
        <v>72</v>
      </c>
      <c r="B76" s="37" t="str">
        <f>HYPERLINK("https://www.marianna-u.ac.jp/hospital/departments/schizophrenia_treatment","Schizophrenia Treatment Center, St. Marianna University Hospital")</f>
        <v>Schizophrenia Treatment Center, St. Marianna University Hospital</v>
      </c>
      <c r="C76" s="41" t="s">
        <v>15</v>
      </c>
      <c r="D76" s="41" t="s">
        <v>316</v>
      </c>
      <c r="E76" s="41" t="s">
        <v>371</v>
      </c>
      <c r="F76" s="37" t="s">
        <v>5173</v>
      </c>
      <c r="G76" s="3"/>
    </row>
    <row r="77" spans="1:7" ht="15.75" customHeight="1">
      <c r="A77" s="40">
        <v>73</v>
      </c>
      <c r="B77" s="37" t="str">
        <f>HYPERLINK("https://seidomae.com/schizophrenia.html","Seido-mae Clinic")</f>
        <v>Seido-mae Clinic</v>
      </c>
      <c r="C77" s="41" t="s">
        <v>15</v>
      </c>
      <c r="D77" s="41" t="s">
        <v>316</v>
      </c>
      <c r="E77" s="41" t="s">
        <v>371</v>
      </c>
      <c r="F77" s="37" t="s">
        <v>5174</v>
      </c>
      <c r="G77" s="3"/>
    </row>
    <row r="78" spans="1:7" ht="15.75" customHeight="1">
      <c r="A78" s="40">
        <v>74</v>
      </c>
      <c r="B78" s="37" t="str">
        <f>HYPERLINK("https://www.shibuya-mental.com/schizophrenia","Shibuya Mental Clinic")</f>
        <v>Shibuya Mental Clinic</v>
      </c>
      <c r="C78" s="41" t="s">
        <v>15</v>
      </c>
      <c r="D78" s="41" t="s">
        <v>316</v>
      </c>
      <c r="E78" s="41" t="s">
        <v>371</v>
      </c>
      <c r="F78" s="37" t="s">
        <v>5175</v>
      </c>
      <c r="G78" s="3"/>
    </row>
    <row r="79" spans="1:7" ht="15.75" customHeight="1">
      <c r="A79" s="40">
        <v>75</v>
      </c>
      <c r="B79" s="37" t="str">
        <f>HYPERLINK("https://uruoi-clinic.jp/disease/schizophrenia/","Shinjuku Uruoi Kokoro Clinic")</f>
        <v>Shinjuku Uruoi Kokoro Clinic</v>
      </c>
      <c r="C79" s="41" t="s">
        <v>15</v>
      </c>
      <c r="D79" s="41" t="s">
        <v>316</v>
      </c>
      <c r="E79" s="41" t="s">
        <v>371</v>
      </c>
      <c r="F79" s="37" t="s">
        <v>5176</v>
      </c>
      <c r="G79" s="3"/>
    </row>
    <row r="80" spans="1:7" ht="15.75" customHeight="1">
      <c r="A80" s="40">
        <v>76</v>
      </c>
      <c r="B80" s="37" t="str">
        <f>HYPERLINK("https://www.eijinkai.or.jp/about/feature02.html","Uji Ohbaku Hospital")</f>
        <v>Uji Ohbaku Hospital</v>
      </c>
      <c r="C80" s="41" t="s">
        <v>15</v>
      </c>
      <c r="D80" s="41" t="s">
        <v>316</v>
      </c>
      <c r="E80" s="41" t="s">
        <v>371</v>
      </c>
      <c r="F80" s="37" t="s">
        <v>5177</v>
      </c>
      <c r="G80" s="3"/>
    </row>
    <row r="81" spans="1:7" ht="15.75" customHeight="1">
      <c r="A81" s="40">
        <v>77</v>
      </c>
      <c r="B81" s="37" t="str">
        <f>HYPERLINK("https://sanyokai-clinic.com/kokoro/category/news/schizophrenia/?gad_source=1&amp;gclid=EAIaIQobChMInIqU65HbiQMVr6NmAh1Vthl7EAAYAiAAEgLl4fD_BwE","Wolf Heart Clinic")</f>
        <v>Wolf Heart Clinic</v>
      </c>
      <c r="C81" s="41" t="s">
        <v>15</v>
      </c>
      <c r="D81" s="41" t="s">
        <v>316</v>
      </c>
      <c r="E81" s="41" t="s">
        <v>371</v>
      </c>
      <c r="F81" s="37" t="s">
        <v>5178</v>
      </c>
      <c r="G81" s="3"/>
    </row>
    <row r="82" spans="1:7" ht="15.75" customHeight="1">
      <c r="A82" s="40">
        <v>78</v>
      </c>
      <c r="B82" s="37" t="str">
        <f>HYPERLINK("https://motomachi-mental.com/medical/%e7%b5%b1%e5%90%88%e5%a4%b1%e8%aa%bf%e7%97%87/","Yokohama Motomachi Mental Clinic")</f>
        <v>Yokohama Motomachi Mental Clinic</v>
      </c>
      <c r="C82" s="41" t="s">
        <v>15</v>
      </c>
      <c r="D82" s="41" t="s">
        <v>316</v>
      </c>
      <c r="E82" s="41" t="s">
        <v>371</v>
      </c>
      <c r="F82" s="37" t="s">
        <v>5179</v>
      </c>
      <c r="G82" s="3"/>
    </row>
    <row r="83" spans="1:7" ht="15.75" customHeight="1">
      <c r="A83" s="40">
        <v>79</v>
      </c>
      <c r="B83" s="37" t="str">
        <f>HYPERLINK("https://www.yotsubakano.com/%E7%B5%B1%E5%90%88%E5%A4%B1%E8%AA%BF%E7%97%87","Yotsuba Kano Clinic")</f>
        <v>Yotsuba Kano Clinic</v>
      </c>
      <c r="C83" s="41" t="s">
        <v>15</v>
      </c>
      <c r="D83" s="41" t="s">
        <v>316</v>
      </c>
      <c r="E83" s="41" t="s">
        <v>371</v>
      </c>
      <c r="F83" s="37" t="s">
        <v>5180</v>
      </c>
      <c r="G83" s="3"/>
    </row>
    <row r="84" spans="1:7" ht="15.75" customHeight="1">
      <c r="A84" s="40">
        <v>80</v>
      </c>
      <c r="B84" s="37" t="str">
        <f>HYPERLINK("https://www.prolum.es/tratamientos/tratamiento-esquizofrenia-psicosis/","Clinical Psychiatry and Psychology Service in Albacete at Vellando Clinic")</f>
        <v>Clinical Psychiatry and Psychology Service in Albacete at Vellando Clinic</v>
      </c>
      <c r="C84" s="41" t="s">
        <v>15</v>
      </c>
      <c r="D84" s="41" t="s">
        <v>311</v>
      </c>
      <c r="E84" s="41" t="s">
        <v>392</v>
      </c>
      <c r="F84" s="37" t="s">
        <v>5181</v>
      </c>
      <c r="G84" s="3"/>
    </row>
    <row r="85" spans="1:7" ht="15.75" customHeight="1">
      <c r="A85" s="40">
        <v>81</v>
      </c>
      <c r="B85" s="37" t="str">
        <f>HYPERLINK("https://www.cun.es/enfermedades-tratamientos/enfermedades/esquizofrenia","Department of Psychiatry and Medical Psychology, University of Navarra Clinic")</f>
        <v>Department of Psychiatry and Medical Psychology, University of Navarra Clinic</v>
      </c>
      <c r="C85" s="41" t="s">
        <v>15</v>
      </c>
      <c r="D85" s="41" t="s">
        <v>311</v>
      </c>
      <c r="E85" s="41" t="s">
        <v>371</v>
      </c>
      <c r="F85" s="37" t="s">
        <v>5182</v>
      </c>
      <c r="G85" s="3"/>
    </row>
    <row r="86" spans="1:7" ht="15.75" customHeight="1">
      <c r="A86" s="40">
        <v>82</v>
      </c>
      <c r="B86" s="37" t="str">
        <f>HYPERLINK("https://www.lopezibor.com/tratamientos/trastornos-psicoticos/","López Ibor Clinic")</f>
        <v>López Ibor Clinic</v>
      </c>
      <c r="C86" s="41" t="s">
        <v>15</v>
      </c>
      <c r="D86" s="41" t="s">
        <v>311</v>
      </c>
      <c r="E86" s="41" t="s">
        <v>5108</v>
      </c>
      <c r="F86" s="37" t="s">
        <v>5183</v>
      </c>
      <c r="G86" s="3"/>
    </row>
    <row r="87" spans="1:7" ht="15.75" customHeight="1">
      <c r="A87" s="40">
        <v>83</v>
      </c>
      <c r="B87" s="37" t="str">
        <f>HYPERLINK("https://seranil.com/en/","Mental Health Hospital El Seranil Clinic")</f>
        <v>Mental Health Hospital El Seranil Clinic</v>
      </c>
      <c r="C87" s="41" t="s">
        <v>15</v>
      </c>
      <c r="D87" s="41" t="s">
        <v>311</v>
      </c>
      <c r="E87" s="41" t="s">
        <v>3707</v>
      </c>
      <c r="F87" s="37" t="s">
        <v>5184</v>
      </c>
      <c r="G87" s="3"/>
    </row>
    <row r="88" spans="1:7" ht="15.75" customHeight="1">
      <c r="A88" s="40">
        <v>84</v>
      </c>
      <c r="B88" s="37" t="str">
        <f>HYPERLINK("https://www.menteamente.com/","Mente A Mente - Mental Health Center")</f>
        <v>Mente A Mente - Mental Health Center</v>
      </c>
      <c r="C88" s="41" t="s">
        <v>15</v>
      </c>
      <c r="D88" s="41" t="s">
        <v>311</v>
      </c>
      <c r="E88" s="41" t="s">
        <v>392</v>
      </c>
      <c r="F88" s="37" t="s">
        <v>5185</v>
      </c>
      <c r="G88" s="3"/>
    </row>
    <row r="89" spans="1:7" ht="15.75" customHeight="1">
      <c r="A89" s="40">
        <v>85</v>
      </c>
      <c r="B89" s="37" t="str">
        <f>HYPERLINK("https://clinicaperezespinosa.com/programa/programa-de-atencion-integral/","Pérez-Espinosa Mental Health Center")</f>
        <v>Pérez-Espinosa Mental Health Center</v>
      </c>
      <c r="C89" s="41" t="s">
        <v>15</v>
      </c>
      <c r="D89" s="41" t="s">
        <v>311</v>
      </c>
      <c r="E89" s="41" t="s">
        <v>392</v>
      </c>
      <c r="F89" s="37" t="s">
        <v>5186</v>
      </c>
      <c r="G89" s="3"/>
    </row>
    <row r="90" spans="1:7" ht="15.75" customHeight="1">
      <c r="A90" s="40">
        <v>86</v>
      </c>
      <c r="B90" s="37" t="str">
        <f>HYPERLINK("https://www.cat-barcelona.com/tratamiento/esquizofrenia/","Schizophrenia Clinic, CAT-Barcelona")</f>
        <v>Schizophrenia Clinic, CAT-Barcelona</v>
      </c>
      <c r="C90" s="41" t="s">
        <v>15</v>
      </c>
      <c r="D90" s="41" t="s">
        <v>311</v>
      </c>
      <c r="E90" s="41" t="s">
        <v>371</v>
      </c>
      <c r="F90" s="37" t="s">
        <v>5187</v>
      </c>
      <c r="G90" s="3"/>
    </row>
    <row r="91" spans="1:7" ht="15.75" customHeight="1">
      <c r="A91" s="40">
        <v>87</v>
      </c>
      <c r="B91" s="37" t="str">
        <f>HYPERLINK("https://assuredhealthcareandwellness.co.uk//","Assured Health &amp; Wellness")</f>
        <v>Assured Health &amp; Wellness</v>
      </c>
      <c r="C91" s="41" t="s">
        <v>15</v>
      </c>
      <c r="D91" s="41" t="s">
        <v>17</v>
      </c>
      <c r="E91" s="41" t="s">
        <v>392</v>
      </c>
      <c r="F91" s="37" t="s">
        <v>5188</v>
      </c>
      <c r="G91" s="3"/>
    </row>
    <row r="92" spans="1:7" ht="15.75" customHeight="1">
      <c r="A92" s="40">
        <v>88</v>
      </c>
      <c r="B92" s="37" t="str">
        <f>HYPERLINK("https://cardinalclinic.co.uk/conditions/psychosis/","Cardinal Clinic")</f>
        <v>Cardinal Clinic</v>
      </c>
      <c r="C92" s="41" t="s">
        <v>15</v>
      </c>
      <c r="D92" s="41" t="s">
        <v>17</v>
      </c>
      <c r="E92" s="41" t="s">
        <v>5034</v>
      </c>
      <c r="F92" s="37" t="s">
        <v>5189</v>
      </c>
      <c r="G92" s="3"/>
    </row>
    <row r="93" spans="1:7" ht="15.75" customHeight="1">
      <c r="A93" s="40">
        <v>89</v>
      </c>
      <c r="B93" s="37" t="str">
        <f>HYPERLINK("https://claimonthealth.co.uk/","Claimont Health")</f>
        <v>Claimont Health</v>
      </c>
      <c r="C93" s="41" t="s">
        <v>15</v>
      </c>
      <c r="D93" s="41" t="s">
        <v>17</v>
      </c>
      <c r="E93" s="41" t="s">
        <v>392</v>
      </c>
      <c r="F93" s="37" t="s">
        <v>5190</v>
      </c>
      <c r="G93" s="3"/>
    </row>
    <row r="94" spans="1:7" ht="15.75" customHeight="1">
      <c r="A94" s="40">
        <v>90</v>
      </c>
      <c r="B94" s="37" t="str">
        <f>HYPERLINK("https://www.fitzroviamedicalclinic.com/mental-health","Fitzrovia Medical Clinic")</f>
        <v>Fitzrovia Medical Clinic</v>
      </c>
      <c r="C94" s="41" t="s">
        <v>15</v>
      </c>
      <c r="D94" s="41" t="s">
        <v>17</v>
      </c>
      <c r="E94" s="41" t="s">
        <v>371</v>
      </c>
      <c r="F94" s="37" t="s">
        <v>5191</v>
      </c>
      <c r="G94" s="3"/>
    </row>
    <row r="95" spans="1:7" ht="15.75" customHeight="1">
      <c r="A95" s="40">
        <v>91</v>
      </c>
      <c r="B95" s="37" t="str">
        <f>HYPERLINK("https://kingsbridgeprivatehospital.com/treatments-surgeries/outpatient-clinics/mental-health/psychiatry-adult-mental-health/","Kingsbridge Private Hospital")</f>
        <v>Kingsbridge Private Hospital</v>
      </c>
      <c r="C95" s="41" t="s">
        <v>15</v>
      </c>
      <c r="D95" s="41" t="s">
        <v>17</v>
      </c>
      <c r="E95" s="41" t="s">
        <v>371</v>
      </c>
      <c r="F95" s="37" t="s">
        <v>5192</v>
      </c>
      <c r="G95" s="3"/>
    </row>
    <row r="96" spans="1:7" ht="15.75" customHeight="1">
      <c r="A96" s="40">
        <v>92</v>
      </c>
      <c r="B96" s="37" t="str">
        <f>HYPERLINK("https://www.londonpsychiatry.clinic/conditions/schizophrenia","London Psychiatry Clinic")</f>
        <v>London Psychiatry Clinic</v>
      </c>
      <c r="C96" s="41" t="s">
        <v>15</v>
      </c>
      <c r="D96" s="41" t="s">
        <v>17</v>
      </c>
      <c r="E96" s="41" t="s">
        <v>392</v>
      </c>
      <c r="F96" s="37" t="s">
        <v>5193</v>
      </c>
      <c r="G96" s="3"/>
    </row>
    <row r="97" spans="1:7" ht="15.75" customHeight="1">
      <c r="A97" s="40">
        <v>93</v>
      </c>
      <c r="B97" s="37" t="str">
        <f>HYPERLINK("https://www.maudsleyprivatecare.co.uk/find-a-clinician","Maudsley Private Care")</f>
        <v>Maudsley Private Care</v>
      </c>
      <c r="C97" s="41" t="s">
        <v>15</v>
      </c>
      <c r="D97" s="41" t="s">
        <v>17</v>
      </c>
      <c r="E97" s="41" t="s">
        <v>371</v>
      </c>
      <c r="F97" s="37" t="s">
        <v>5194</v>
      </c>
      <c r="G97" s="3"/>
    </row>
    <row r="98" spans="1:7" ht="15.75" customHeight="1">
      <c r="A98" s="40">
        <v>94</v>
      </c>
      <c r="B98" s="37" t="str">
        <f>HYPERLINK("https://midlandhealth.co.uk/mental-health/psychiatric-clinic/","Midland Health")</f>
        <v>Midland Health</v>
      </c>
      <c r="C98" s="41" t="s">
        <v>15</v>
      </c>
      <c r="D98" s="41" t="s">
        <v>17</v>
      </c>
      <c r="E98" s="41" t="s">
        <v>371</v>
      </c>
      <c r="F98" s="37" t="s">
        <v>5195</v>
      </c>
      <c r="G98" s="3"/>
    </row>
    <row r="99" spans="1:7" ht="15.75" customHeight="1">
      <c r="A99" s="40">
        <v>95</v>
      </c>
      <c r="B99" s="37" t="str">
        <f>HYPERLINK("https://www.nightingalehospital.co.uk/specialists/","Nightingale Hospital London")</f>
        <v>Nightingale Hospital London</v>
      </c>
      <c r="C99" s="41" t="s">
        <v>15</v>
      </c>
      <c r="D99" s="41" t="s">
        <v>17</v>
      </c>
      <c r="E99" s="41" t="s">
        <v>392</v>
      </c>
      <c r="F99" s="37" t="s">
        <v>5196</v>
      </c>
      <c r="G99" s="3"/>
    </row>
    <row r="100" spans="1:7" ht="15.75" customHeight="1">
      <c r="A100" s="40">
        <v>96</v>
      </c>
      <c r="B100" s="37" t="str">
        <f>HYPERLINK("https://www.priorygroup.com/mental-health/schizophrenia-treatment","Priory")</f>
        <v>Priory</v>
      </c>
      <c r="C100" s="41" t="s">
        <v>15</v>
      </c>
      <c r="D100" s="41" t="s">
        <v>17</v>
      </c>
      <c r="E100" s="41" t="s">
        <v>371</v>
      </c>
      <c r="F100" s="37" t="s">
        <v>5197</v>
      </c>
      <c r="G100" s="3"/>
    </row>
    <row r="101" spans="1:7" ht="15.75" customHeight="1">
      <c r="A101" s="40">
        <v>97</v>
      </c>
      <c r="B101" s="37" t="str">
        <f>HYPERLINK("https://privatemedicalclinic.com/psychosis-specialist-in-birmingham/","Private Medical Clinic")</f>
        <v>Private Medical Clinic</v>
      </c>
      <c r="C101" s="41" t="s">
        <v>15</v>
      </c>
      <c r="D101" s="41" t="s">
        <v>17</v>
      </c>
      <c r="E101" s="41" t="s">
        <v>392</v>
      </c>
      <c r="F101" s="37" t="s">
        <v>5198</v>
      </c>
      <c r="G101" s="3"/>
    </row>
    <row r="102" spans="1:7" ht="15.75" customHeight="1">
      <c r="A102" s="40">
        <v>98</v>
      </c>
      <c r="B102" s="37" t="str">
        <f>HYPERLINK("https://theprivatetherapyclinic.co.uk/issues/paranoia/","Private Therapy Clinic")</f>
        <v>Private Therapy Clinic</v>
      </c>
      <c r="C102" s="41" t="s">
        <v>15</v>
      </c>
      <c r="D102" s="41" t="s">
        <v>17</v>
      </c>
      <c r="E102" s="41" t="s">
        <v>392</v>
      </c>
      <c r="F102" s="37" t="s">
        <v>5199</v>
      </c>
      <c r="G102" s="3"/>
    </row>
    <row r="103" spans="1:7" ht="15.75" customHeight="1">
      <c r="A103" s="40">
        <v>99</v>
      </c>
      <c r="B103" s="37" t="str">
        <f>HYPERLINK("https://www.circlehealthgroup.co.uk/specialities/psychiatry","Psychiatry Service, Circle Health Group")</f>
        <v>Psychiatry Service, Circle Health Group</v>
      </c>
      <c r="C103" s="41" t="s">
        <v>15</v>
      </c>
      <c r="D103" s="41" t="s">
        <v>17</v>
      </c>
      <c r="E103" s="41" t="s">
        <v>5200</v>
      </c>
      <c r="F103" s="37" t="s">
        <v>5201</v>
      </c>
      <c r="G103" s="3"/>
    </row>
    <row r="104" spans="1:7" ht="15.75" customHeight="1">
      <c r="A104" s="40">
        <v>100</v>
      </c>
      <c r="B104" s="37" t="str">
        <f>HYPERLINK("https://www.newvictoria.co.uk/treatments/specialities-treatments/psychiatry","Psychiatry Service, New Victoria Hospital")</f>
        <v>Psychiatry Service, New Victoria Hospital</v>
      </c>
      <c r="C104" s="41" t="s">
        <v>15</v>
      </c>
      <c r="D104" s="41" t="s">
        <v>17</v>
      </c>
      <c r="E104" s="41" t="s">
        <v>371</v>
      </c>
      <c r="F104" s="37" t="s">
        <v>5202</v>
      </c>
      <c r="G104" s="3"/>
    </row>
    <row r="105" spans="1:7" ht="15.75" customHeight="1">
      <c r="A105" s="40">
        <v>101</v>
      </c>
      <c r="B105" s="37" t="str">
        <f>HYPERLINK("https://psymplicity.com/practitioners/","Psymplicity Private Mental Health Care")</f>
        <v>Psymplicity Private Mental Health Care</v>
      </c>
      <c r="C105" s="41" t="s">
        <v>15</v>
      </c>
      <c r="D105" s="41" t="s">
        <v>17</v>
      </c>
      <c r="E105" s="41" t="s">
        <v>371</v>
      </c>
      <c r="F105" s="37" t="s">
        <v>5203</v>
      </c>
      <c r="G105" s="3"/>
    </row>
    <row r="106" spans="1:7" ht="15.75" customHeight="1">
      <c r="A106" s="40">
        <v>102</v>
      </c>
      <c r="B106" s="37" t="str">
        <f>HYPERLINK("https://thebluetreeclinic.com/","The Blue Tree Clinic")</f>
        <v>The Blue Tree Clinic</v>
      </c>
      <c r="C106" s="41" t="s">
        <v>15</v>
      </c>
      <c r="D106" s="41" t="s">
        <v>17</v>
      </c>
      <c r="E106" s="41" t="s">
        <v>371</v>
      </c>
      <c r="F106" s="37" t="s">
        <v>5204</v>
      </c>
      <c r="G106" s="3"/>
    </row>
    <row r="107" spans="1:7" ht="15.75" customHeight="1">
      <c r="A107" s="40">
        <v>103</v>
      </c>
      <c r="B107" s="37" t="str">
        <f>HYPERLINK("https://www.thechelseapsychologyclinic.com/","The Chelsea Psychology Clinic")</f>
        <v>The Chelsea Psychology Clinic</v>
      </c>
      <c r="C107" s="41" t="s">
        <v>15</v>
      </c>
      <c r="D107" s="41" t="s">
        <v>17</v>
      </c>
      <c r="E107" s="41" t="s">
        <v>5034</v>
      </c>
      <c r="F107" s="37" t="s">
        <v>5205</v>
      </c>
      <c r="G107" s="3"/>
    </row>
    <row r="108" spans="1:7" ht="15.75" customHeight="1">
      <c r="A108" s="40">
        <v>104</v>
      </c>
      <c r="B108" s="37" t="str">
        <f>HYPERLINK("https://www.thesoke.uk/","The Soke Private Mental Health Clinic")</f>
        <v>The Soke Private Mental Health Clinic</v>
      </c>
      <c r="C108" s="41" t="s">
        <v>15</v>
      </c>
      <c r="D108" s="41" t="s">
        <v>17</v>
      </c>
      <c r="E108" s="41" t="s">
        <v>5085</v>
      </c>
      <c r="F108" s="37" t="s">
        <v>5206</v>
      </c>
      <c r="G108" s="3"/>
    </row>
    <row r="109" spans="1:7" ht="15.75" customHeight="1">
      <c r="A109" s="40">
        <v>105</v>
      </c>
      <c r="B109" s="37" t="str">
        <f>HYPERLINK("https://arborwellnessmh.com/","Arbor Wellness")</f>
        <v>Arbor Wellness</v>
      </c>
      <c r="C109" s="41" t="s">
        <v>15</v>
      </c>
      <c r="D109" s="41" t="s">
        <v>18</v>
      </c>
      <c r="E109" s="41" t="s">
        <v>371</v>
      </c>
      <c r="F109" s="37" t="s">
        <v>5207</v>
      </c>
      <c r="G109" s="3"/>
    </row>
    <row r="110" spans="1:7" ht="15.75" customHeight="1">
      <c r="A110" s="40">
        <v>106</v>
      </c>
      <c r="B110" s="37" t="str">
        <f>HYPERLINK("https://www.austenriggs.org/","Austen Riggs Center")</f>
        <v>Austen Riggs Center</v>
      </c>
      <c r="C110" s="41" t="s">
        <v>15</v>
      </c>
      <c r="D110" s="41" t="s">
        <v>18</v>
      </c>
      <c r="E110" s="41" t="s">
        <v>371</v>
      </c>
      <c r="F110" s="37" t="s">
        <v>5208</v>
      </c>
      <c r="G110" s="3"/>
    </row>
    <row r="111" spans="1:7" ht="15.75" customHeight="1">
      <c r="A111" s="40">
        <v>107</v>
      </c>
      <c r="B111" s="37" t="str">
        <f>HYPERLINK("https://www.brightquest.com/","BrightQuest Treatment Centers")</f>
        <v>BrightQuest Treatment Centers</v>
      </c>
      <c r="C111" s="41" t="s">
        <v>15</v>
      </c>
      <c r="D111" s="41" t="s">
        <v>18</v>
      </c>
      <c r="E111" s="41" t="s">
        <v>371</v>
      </c>
      <c r="F111" s="37" t="s">
        <v>5209</v>
      </c>
      <c r="G111" s="3"/>
    </row>
    <row r="112" spans="1:7" ht="15.75" customHeight="1">
      <c r="A112" s="40">
        <v>108</v>
      </c>
      <c r="B112" s="37" t="str">
        <f>HYPERLINK("https://www.cedarcresthospital.com/","Cedar Crest Hospital &amp; Residential Treatment Center")</f>
        <v>Cedar Crest Hospital &amp; Residential Treatment Center</v>
      </c>
      <c r="C112" s="41" t="s">
        <v>15</v>
      </c>
      <c r="D112" s="41" t="s">
        <v>18</v>
      </c>
      <c r="E112" s="41" t="s">
        <v>371</v>
      </c>
      <c r="F112" s="37" t="s">
        <v>5210</v>
      </c>
      <c r="G112" s="3"/>
    </row>
    <row r="113" spans="1:7" ht="15.75" customHeight="1">
      <c r="A113" s="40">
        <v>109</v>
      </c>
      <c r="B113" s="37" t="str">
        <f>HYPERLINK("https://www.nygsh.org/psychotic-disorders.html","Gracie Square Hospital")</f>
        <v>Gracie Square Hospital</v>
      </c>
      <c r="C113" s="41" t="s">
        <v>15</v>
      </c>
      <c r="D113" s="41" t="s">
        <v>18</v>
      </c>
      <c r="E113" s="41" t="s">
        <v>371</v>
      </c>
      <c r="F113" s="37" t="s">
        <v>5211</v>
      </c>
      <c r="G113" s="3"/>
    </row>
    <row r="114" spans="1:7" ht="15.75" customHeight="1">
      <c r="A114" s="40">
        <v>110</v>
      </c>
      <c r="B114" s="37" t="str">
        <f>HYPERLINK("https://www.northtampabehavioralhealth.com/","North Tampa Behavioral Health Hospital")</f>
        <v>North Tampa Behavioral Health Hospital</v>
      </c>
      <c r="C114" s="41" t="s">
        <v>15</v>
      </c>
      <c r="D114" s="41" t="s">
        <v>18</v>
      </c>
      <c r="E114" s="41" t="s">
        <v>371</v>
      </c>
      <c r="F114" s="37" t="s">
        <v>5212</v>
      </c>
      <c r="G114" s="3"/>
    </row>
    <row r="115" spans="1:7" ht="15.75" customHeight="1">
      <c r="A115" s="40">
        <v>111</v>
      </c>
      <c r="B115" s="37" t="str">
        <f>HYPERLINK("https://novohealthcare.org/services","NOVO Healthcare")</f>
        <v>NOVO Healthcare</v>
      </c>
      <c r="C115" s="41" t="s">
        <v>15</v>
      </c>
      <c r="D115" s="41" t="s">
        <v>18</v>
      </c>
      <c r="E115" s="41" t="s">
        <v>371</v>
      </c>
      <c r="F115" s="37" t="s">
        <v>5213</v>
      </c>
      <c r="G115" s="3"/>
    </row>
    <row r="116" spans="1:7" ht="15.75" customHeight="1">
      <c r="A116" s="40">
        <v>112</v>
      </c>
      <c r="B116" s="37" t="str">
        <f>HYPERLINK("https://www.ohiohospitalforpsychiatry.com/","Ohio Hospital for Psychiatry")</f>
        <v>Ohio Hospital for Psychiatry</v>
      </c>
      <c r="C116" s="41" t="s">
        <v>15</v>
      </c>
      <c r="D116" s="41" t="s">
        <v>18</v>
      </c>
      <c r="E116" s="41" t="s">
        <v>371</v>
      </c>
      <c r="F116" s="37" t="s">
        <v>5214</v>
      </c>
      <c r="G116" s="3"/>
    </row>
    <row r="117" spans="1:7" ht="15.75" customHeight="1">
      <c r="A117" s="40">
        <v>113</v>
      </c>
      <c r="B117" s="37" t="str">
        <f>HYPERLINK("https://parksideinc.org/","Parkside Psychiatric Hospital &amp; Clinic")</f>
        <v>Parkside Psychiatric Hospital &amp; Clinic</v>
      </c>
      <c r="C117" s="41" t="s">
        <v>15</v>
      </c>
      <c r="D117" s="41" t="s">
        <v>18</v>
      </c>
      <c r="E117" s="41" t="s">
        <v>371</v>
      </c>
      <c r="F117" s="37" t="s">
        <v>5215</v>
      </c>
      <c r="G117" s="3"/>
    </row>
    <row r="118" spans="1:7" ht="15.75" customHeight="1">
      <c r="A118" s="40">
        <v>114</v>
      </c>
      <c r="B118" s="37" t="str">
        <f>HYPERLINK("https://hospital.uillinois.edu/es/primary-and-specialty-care/servicios-de-psiquiatria/servicios-clinicos-para-adultos/psicosis","Psychosis Treatment Program &amp; Anchor Point Clinic")</f>
        <v>Psychosis Treatment Program &amp; Anchor Point Clinic</v>
      </c>
      <c r="C118" s="41" t="s">
        <v>15</v>
      </c>
      <c r="D118" s="41" t="s">
        <v>18</v>
      </c>
      <c r="E118" s="41" t="s">
        <v>5034</v>
      </c>
      <c r="F118" s="37" t="s">
        <v>5216</v>
      </c>
      <c r="G118" s="3"/>
    </row>
    <row r="119" spans="1:7" ht="15.75" customHeight="1">
      <c r="A119" s="40">
        <v>115</v>
      </c>
      <c r="B119" s="37" t="str">
        <f>HYPERLINK("https://www.sanjosebh.com/disorders/schizophrenia/causes-effects/","San Jose Behavioral Health Hospital")</f>
        <v>San Jose Behavioral Health Hospital</v>
      </c>
      <c r="C119" s="41" t="s">
        <v>15</v>
      </c>
      <c r="D119" s="41" t="s">
        <v>18</v>
      </c>
      <c r="E119" s="41" t="s">
        <v>371</v>
      </c>
      <c r="F119" s="37" t="s">
        <v>5217</v>
      </c>
      <c r="G119" s="3"/>
    </row>
    <row r="120" spans="1:7" ht="15.75" customHeight="1">
      <c r="A120" s="40">
        <v>116</v>
      </c>
      <c r="B120" s="37" t="str">
        <f>HYPERLINK("https://www.mcleanhospital.org/schizophrenia","Schizophrenia, McLean Hospital")</f>
        <v>Schizophrenia, McLean Hospital</v>
      </c>
      <c r="C120" s="41" t="s">
        <v>15</v>
      </c>
      <c r="D120" s="41" t="s">
        <v>18</v>
      </c>
      <c r="E120" s="41" t="s">
        <v>371</v>
      </c>
      <c r="F120" s="37" t="s">
        <v>5218</v>
      </c>
      <c r="G120" s="3"/>
    </row>
    <row r="121" spans="1:7" ht="15.75" customHeight="1">
      <c r="A121" s="40">
        <v>117</v>
      </c>
      <c r="B121" s="37" t="str">
        <f>HYPERLINK("https://www.sevenhillsbi.com/","Seven Hills Behavioral Health Hospital")</f>
        <v>Seven Hills Behavioral Health Hospital</v>
      </c>
      <c r="C121" s="41" t="s">
        <v>15</v>
      </c>
      <c r="D121" s="41" t="s">
        <v>18</v>
      </c>
      <c r="E121" s="41" t="s">
        <v>371</v>
      </c>
      <c r="F121" s="37" t="s">
        <v>5219</v>
      </c>
      <c r="G121" s="3"/>
    </row>
    <row r="122" spans="1:7" ht="15.75" customHeight="1">
      <c r="A122" s="40">
        <v>118</v>
      </c>
      <c r="B122" s="37" t="str">
        <f>HYPERLINK("https://silverhillhospital.org/what-we-treat/mental-health-hospitals-ct/#overview__clinical_expertise","Silver Hill Hospital")</f>
        <v>Silver Hill Hospital</v>
      </c>
      <c r="C122" s="41" t="s">
        <v>15</v>
      </c>
      <c r="D122" s="41" t="s">
        <v>18</v>
      </c>
      <c r="E122" s="41" t="s">
        <v>371</v>
      </c>
      <c r="F122" s="37" t="s">
        <v>5220</v>
      </c>
      <c r="G122" s="3"/>
    </row>
    <row r="123" spans="1:7" ht="15.75" customHeight="1">
      <c r="A123" s="40">
        <v>119</v>
      </c>
      <c r="B123" s="37" t="str">
        <f>HYPERLINK("https://www.skylandtrail.org/","Skyland Trail")</f>
        <v>Skyland Trail</v>
      </c>
      <c r="C123" s="41" t="s">
        <v>15</v>
      </c>
      <c r="D123" s="41" t="s">
        <v>18</v>
      </c>
      <c r="E123" s="41" t="s">
        <v>392</v>
      </c>
      <c r="F123" s="37" t="s">
        <v>5221</v>
      </c>
      <c r="G123" s="3"/>
    </row>
    <row r="124" spans="1:7" ht="15.75" customHeight="1">
      <c r="A124" s="40">
        <v>120</v>
      </c>
      <c r="B124" s="37" t="str">
        <f>HYPERLINK("https://socalmentalhealth.com/disorders-treated/psychotic/schizophrenia/","SoCal Mental Health")</f>
        <v>SoCal Mental Health</v>
      </c>
      <c r="C124" s="41" t="s">
        <v>15</v>
      </c>
      <c r="D124" s="41" t="s">
        <v>18</v>
      </c>
      <c r="E124" s="41" t="s">
        <v>3707</v>
      </c>
      <c r="F124" s="37" t="s">
        <v>5222</v>
      </c>
      <c r="G124" s="3"/>
    </row>
  </sheetData>
  <autoFilter ref="A4:G124" xr:uid="{00000000-0009-0000-0000-00000A000000}"/>
  <mergeCells count="2">
    <mergeCell ref="A1:G1"/>
    <mergeCell ref="A2:G3"/>
  </mergeCells>
  <hyperlinks>
    <hyperlink ref="F5" r:id="rId1" xr:uid="{00000000-0004-0000-0A00-000000000000}"/>
    <hyperlink ref="F6" r:id="rId2" xr:uid="{00000000-0004-0000-0A00-000001000000}"/>
    <hyperlink ref="F7" r:id="rId3" xr:uid="{00000000-0004-0000-0A00-000002000000}"/>
    <hyperlink ref="F8" r:id="rId4" xr:uid="{00000000-0004-0000-0A00-000003000000}"/>
    <hyperlink ref="F9" r:id="rId5" xr:uid="{00000000-0004-0000-0A00-000004000000}"/>
    <hyperlink ref="F10" r:id="rId6" xr:uid="{00000000-0004-0000-0A00-000005000000}"/>
    <hyperlink ref="F11" r:id="rId7" xr:uid="{00000000-0004-0000-0A00-000006000000}"/>
    <hyperlink ref="F12" r:id="rId8" xr:uid="{00000000-0004-0000-0A00-000007000000}"/>
    <hyperlink ref="F13" r:id="rId9" xr:uid="{00000000-0004-0000-0A00-000008000000}"/>
    <hyperlink ref="F14" r:id="rId10" xr:uid="{00000000-0004-0000-0A00-000009000000}"/>
    <hyperlink ref="F15" r:id="rId11" xr:uid="{00000000-0004-0000-0A00-00000A000000}"/>
    <hyperlink ref="F16" r:id="rId12" xr:uid="{00000000-0004-0000-0A00-00000B000000}"/>
    <hyperlink ref="F17" r:id="rId13" xr:uid="{00000000-0004-0000-0A00-00000C000000}"/>
    <hyperlink ref="F18" r:id="rId14" xr:uid="{00000000-0004-0000-0A00-00000D000000}"/>
    <hyperlink ref="F19" r:id="rId15" xr:uid="{00000000-0004-0000-0A00-00000E000000}"/>
    <hyperlink ref="F20" r:id="rId16" xr:uid="{00000000-0004-0000-0A00-00000F000000}"/>
    <hyperlink ref="F21" r:id="rId17" xr:uid="{00000000-0004-0000-0A00-000010000000}"/>
    <hyperlink ref="F22" r:id="rId18" xr:uid="{00000000-0004-0000-0A00-000011000000}"/>
    <hyperlink ref="F23" r:id="rId19" xr:uid="{00000000-0004-0000-0A00-000012000000}"/>
    <hyperlink ref="F24" r:id="rId20" xr:uid="{00000000-0004-0000-0A00-000013000000}"/>
    <hyperlink ref="F25" r:id="rId21" xr:uid="{00000000-0004-0000-0A00-000014000000}"/>
    <hyperlink ref="F26" r:id="rId22" xr:uid="{00000000-0004-0000-0A00-000015000000}"/>
    <hyperlink ref="F27" r:id="rId23" xr:uid="{00000000-0004-0000-0A00-000016000000}"/>
    <hyperlink ref="F28" r:id="rId24" xr:uid="{00000000-0004-0000-0A00-000017000000}"/>
    <hyperlink ref="F29" r:id="rId25" xr:uid="{00000000-0004-0000-0A00-000018000000}"/>
    <hyperlink ref="F30" r:id="rId26" xr:uid="{00000000-0004-0000-0A00-000019000000}"/>
    <hyperlink ref="F31" r:id="rId27" xr:uid="{00000000-0004-0000-0A00-00001A000000}"/>
    <hyperlink ref="F32" r:id="rId28" xr:uid="{00000000-0004-0000-0A00-00001B000000}"/>
    <hyperlink ref="F33" r:id="rId29" xr:uid="{00000000-0004-0000-0A00-00001C000000}"/>
    <hyperlink ref="F34" r:id="rId30" xr:uid="{00000000-0004-0000-0A00-00001D000000}"/>
    <hyperlink ref="F36" r:id="rId31" xr:uid="{00000000-0004-0000-0A00-00001E000000}"/>
    <hyperlink ref="F37" r:id="rId32" xr:uid="{00000000-0004-0000-0A00-00001F000000}"/>
    <hyperlink ref="F38" r:id="rId33" location="c2314" xr:uid="{00000000-0004-0000-0A00-000020000000}"/>
    <hyperlink ref="F40" r:id="rId34" xr:uid="{00000000-0004-0000-0A00-000021000000}"/>
    <hyperlink ref="F41" r:id="rId35" xr:uid="{00000000-0004-0000-0A00-000022000000}"/>
    <hyperlink ref="F42" r:id="rId36" xr:uid="{00000000-0004-0000-0A00-000023000000}"/>
    <hyperlink ref="F43" r:id="rId37" xr:uid="{00000000-0004-0000-0A00-000024000000}"/>
    <hyperlink ref="F44" r:id="rId38" xr:uid="{00000000-0004-0000-0A00-000025000000}"/>
    <hyperlink ref="F45" r:id="rId39" xr:uid="{00000000-0004-0000-0A00-000026000000}"/>
    <hyperlink ref="F46" r:id="rId40" xr:uid="{00000000-0004-0000-0A00-000027000000}"/>
    <hyperlink ref="F47" r:id="rId41" xr:uid="{00000000-0004-0000-0A00-000028000000}"/>
    <hyperlink ref="F39" r:id="rId42" location="c2621" xr:uid="{00000000-0004-0000-0A00-000029000000}"/>
    <hyperlink ref="F48" r:id="rId43" xr:uid="{00000000-0004-0000-0A00-00002A000000}"/>
    <hyperlink ref="F49" r:id="rId44" xr:uid="{00000000-0004-0000-0A00-00002B000000}"/>
    <hyperlink ref="F50" r:id="rId45" xr:uid="{00000000-0004-0000-0A00-00002C000000}"/>
    <hyperlink ref="F51" r:id="rId46" xr:uid="{00000000-0004-0000-0A00-00002D000000}"/>
    <hyperlink ref="F52" r:id="rId47" xr:uid="{00000000-0004-0000-0A00-00002E000000}"/>
    <hyperlink ref="F53" r:id="rId48" xr:uid="{00000000-0004-0000-0A00-00002F000000}"/>
    <hyperlink ref="F54" r:id="rId49" xr:uid="{00000000-0004-0000-0A00-000030000000}"/>
    <hyperlink ref="F55" r:id="rId50" xr:uid="{00000000-0004-0000-0A00-000031000000}"/>
    <hyperlink ref="F35" r:id="rId51" xr:uid="{00000000-0004-0000-0A00-000032000000}"/>
    <hyperlink ref="F56" r:id="rId52" xr:uid="{00000000-0004-0000-0A00-000033000000}"/>
    <hyperlink ref="F57" r:id="rId53" xr:uid="{00000000-0004-0000-0A00-000034000000}"/>
    <hyperlink ref="F58" r:id="rId54" xr:uid="{00000000-0004-0000-0A00-000035000000}"/>
    <hyperlink ref="F59" r:id="rId55" xr:uid="{00000000-0004-0000-0A00-000036000000}"/>
    <hyperlink ref="F60" r:id="rId56" xr:uid="{00000000-0004-0000-0A00-000037000000}"/>
    <hyperlink ref="F61" r:id="rId57" xr:uid="{00000000-0004-0000-0A00-000038000000}"/>
    <hyperlink ref="F62" r:id="rId58" xr:uid="{00000000-0004-0000-0A00-000039000000}"/>
    <hyperlink ref="F63" r:id="rId59" xr:uid="{00000000-0004-0000-0A00-00003A000000}"/>
    <hyperlink ref="F64" r:id="rId60" xr:uid="{00000000-0004-0000-0A00-00003B000000}"/>
    <hyperlink ref="F65" r:id="rId61" xr:uid="{00000000-0004-0000-0A00-00003C000000}"/>
    <hyperlink ref="F66" r:id="rId62" xr:uid="{00000000-0004-0000-0A00-00003D000000}"/>
    <hyperlink ref="F67" r:id="rId63" xr:uid="{00000000-0004-0000-0A00-00003E000000}"/>
    <hyperlink ref="F68" r:id="rId64" xr:uid="{00000000-0004-0000-0A00-00003F000000}"/>
    <hyperlink ref="F69" r:id="rId65" xr:uid="{00000000-0004-0000-0A00-000040000000}"/>
    <hyperlink ref="F70" r:id="rId66" xr:uid="{00000000-0004-0000-0A00-000041000000}"/>
    <hyperlink ref="F71" r:id="rId67" xr:uid="{00000000-0004-0000-0A00-000042000000}"/>
    <hyperlink ref="F72" r:id="rId68" xr:uid="{00000000-0004-0000-0A00-000043000000}"/>
    <hyperlink ref="F73" r:id="rId69" xr:uid="{00000000-0004-0000-0A00-000044000000}"/>
    <hyperlink ref="F74" r:id="rId70" xr:uid="{00000000-0004-0000-0A00-000045000000}"/>
    <hyperlink ref="F75" r:id="rId71" xr:uid="{00000000-0004-0000-0A00-000046000000}"/>
    <hyperlink ref="F76" r:id="rId72" xr:uid="{00000000-0004-0000-0A00-000047000000}"/>
    <hyperlink ref="F77" r:id="rId73" xr:uid="{00000000-0004-0000-0A00-000048000000}"/>
    <hyperlink ref="F78" r:id="rId74" xr:uid="{00000000-0004-0000-0A00-000049000000}"/>
    <hyperlink ref="F79" r:id="rId75" xr:uid="{00000000-0004-0000-0A00-00004A000000}"/>
    <hyperlink ref="F80" r:id="rId76" xr:uid="{00000000-0004-0000-0A00-00004B000000}"/>
    <hyperlink ref="F81" r:id="rId77" xr:uid="{00000000-0004-0000-0A00-00004C000000}"/>
    <hyperlink ref="F82" r:id="rId78" xr:uid="{00000000-0004-0000-0A00-00004D000000}"/>
    <hyperlink ref="F83" r:id="rId79" xr:uid="{00000000-0004-0000-0A00-00004E000000}"/>
    <hyperlink ref="F84" r:id="rId80" xr:uid="{00000000-0004-0000-0A00-00004F000000}"/>
    <hyperlink ref="F85" r:id="rId81" xr:uid="{00000000-0004-0000-0A00-000050000000}"/>
    <hyperlink ref="F86" r:id="rId82" xr:uid="{00000000-0004-0000-0A00-000051000000}"/>
    <hyperlink ref="F87" r:id="rId83" xr:uid="{00000000-0004-0000-0A00-000052000000}"/>
    <hyperlink ref="F88" r:id="rId84" xr:uid="{00000000-0004-0000-0A00-000053000000}"/>
    <hyperlink ref="F89" r:id="rId85" xr:uid="{00000000-0004-0000-0A00-000054000000}"/>
    <hyperlink ref="F91" r:id="rId86" xr:uid="{00000000-0004-0000-0A00-000055000000}"/>
    <hyperlink ref="F90" r:id="rId87" xr:uid="{00000000-0004-0000-0A00-000056000000}"/>
    <hyperlink ref="F94" r:id="rId88" xr:uid="{00000000-0004-0000-0A00-000057000000}"/>
    <hyperlink ref="F92" r:id="rId89" xr:uid="{00000000-0004-0000-0A00-000058000000}"/>
    <hyperlink ref="F93" r:id="rId90" xr:uid="{00000000-0004-0000-0A00-000059000000}"/>
    <hyperlink ref="F95" r:id="rId91" xr:uid="{00000000-0004-0000-0A00-00005A000000}"/>
    <hyperlink ref="F96" r:id="rId92" xr:uid="{00000000-0004-0000-0A00-00005B000000}"/>
    <hyperlink ref="F97" r:id="rId93" xr:uid="{00000000-0004-0000-0A00-00005C000000}"/>
    <hyperlink ref="F98" r:id="rId94" xr:uid="{00000000-0004-0000-0A00-00005D000000}"/>
    <hyperlink ref="F99" r:id="rId95" xr:uid="{00000000-0004-0000-0A00-00005E000000}"/>
    <hyperlink ref="F100" r:id="rId96" xr:uid="{00000000-0004-0000-0A00-00005F000000}"/>
    <hyperlink ref="F101" r:id="rId97" xr:uid="{00000000-0004-0000-0A00-000060000000}"/>
    <hyperlink ref="F102" r:id="rId98" xr:uid="{00000000-0004-0000-0A00-000061000000}"/>
    <hyperlink ref="F103" r:id="rId99" xr:uid="{00000000-0004-0000-0A00-000062000000}"/>
    <hyperlink ref="F104" r:id="rId100" xr:uid="{00000000-0004-0000-0A00-000063000000}"/>
    <hyperlink ref="F105" r:id="rId101" xr:uid="{00000000-0004-0000-0A00-000064000000}"/>
    <hyperlink ref="F106" r:id="rId102" xr:uid="{00000000-0004-0000-0A00-000065000000}"/>
    <hyperlink ref="F107" r:id="rId103" xr:uid="{00000000-0004-0000-0A00-000066000000}"/>
    <hyperlink ref="F108" r:id="rId104" xr:uid="{00000000-0004-0000-0A00-000067000000}"/>
    <hyperlink ref="F109" r:id="rId105" xr:uid="{00000000-0004-0000-0A00-000068000000}"/>
    <hyperlink ref="F110" r:id="rId106" xr:uid="{00000000-0004-0000-0A00-000069000000}"/>
    <hyperlink ref="F111" r:id="rId107" xr:uid="{00000000-0004-0000-0A00-00006A000000}"/>
    <hyperlink ref="F112" r:id="rId108" xr:uid="{00000000-0004-0000-0A00-00006B000000}"/>
    <hyperlink ref="F113" r:id="rId109" xr:uid="{00000000-0004-0000-0A00-00006C000000}"/>
    <hyperlink ref="F114" r:id="rId110" xr:uid="{00000000-0004-0000-0A00-00006D000000}"/>
    <hyperlink ref="F115" r:id="rId111" xr:uid="{00000000-0004-0000-0A00-00006E000000}"/>
    <hyperlink ref="F116" r:id="rId112" xr:uid="{00000000-0004-0000-0A00-00006F000000}"/>
    <hyperlink ref="F117" r:id="rId113" xr:uid="{00000000-0004-0000-0A00-000070000000}"/>
    <hyperlink ref="F118" r:id="rId114" xr:uid="{00000000-0004-0000-0A00-000071000000}"/>
    <hyperlink ref="F119" r:id="rId115" xr:uid="{00000000-0004-0000-0A00-000072000000}"/>
    <hyperlink ref="F120" r:id="rId116" xr:uid="{00000000-0004-0000-0A00-000073000000}"/>
    <hyperlink ref="F121" r:id="rId117" xr:uid="{00000000-0004-0000-0A00-000074000000}"/>
    <hyperlink ref="F122" r:id="rId118" location="overview__clinical_expertise" xr:uid="{00000000-0004-0000-0A00-000075000000}"/>
    <hyperlink ref="F123" r:id="rId119" xr:uid="{00000000-0004-0000-0A00-000076000000}"/>
    <hyperlink ref="F124" r:id="rId120" xr:uid="{00000000-0004-0000-0A00-000077000000}"/>
  </hyperlinks>
  <pageMargins left="0.7" right="0.7" top="0.75" bottom="0.75" header="0.3" footer="0.3"/>
  <pageSetup orientation="portrait" r:id="rId1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G292"/>
  <sheetViews>
    <sheetView showGridLines="0" zoomScaleNormal="100" workbookViewId="0">
      <pane xSplit="2" ySplit="4" topLeftCell="C5" activePane="bottomRight" state="frozen"/>
      <selection pane="topRight"/>
      <selection pane="bottomLeft"/>
      <selection pane="bottomRight" activeCell="C5" sqref="C5"/>
    </sheetView>
  </sheetViews>
  <sheetFormatPr defaultColWidth="14.109375" defaultRowHeight="15" customHeight="1"/>
  <cols>
    <col min="1" max="1" width="6.109375" style="1" customWidth="1"/>
    <col min="2" max="2" width="50.88671875" style="1" customWidth="1"/>
    <col min="3" max="3" width="24.88671875" style="1" customWidth="1"/>
    <col min="4" max="4" width="43.109375" style="1" customWidth="1"/>
    <col min="5" max="6" width="15.5546875" style="1" customWidth="1"/>
    <col min="7" max="7" width="36.88671875" style="11" customWidth="1"/>
    <col min="8" max="16384" width="14.109375" style="1"/>
  </cols>
  <sheetData>
    <row r="1" spans="1:7" ht="24.75" customHeight="1">
      <c r="A1" s="50" t="s">
        <v>0</v>
      </c>
      <c r="B1" s="50"/>
      <c r="C1" s="50"/>
      <c r="D1" s="50"/>
      <c r="E1" s="50"/>
      <c r="F1" s="50"/>
      <c r="G1" s="50"/>
    </row>
    <row r="2" spans="1:7" ht="15" customHeight="1">
      <c r="A2" s="51" t="s">
        <v>1</v>
      </c>
      <c r="B2" s="52"/>
      <c r="C2" s="52"/>
      <c r="D2" s="52"/>
      <c r="E2" s="52"/>
      <c r="F2" s="52"/>
      <c r="G2" s="52"/>
    </row>
    <row r="3" spans="1:7" ht="15" customHeight="1">
      <c r="A3" s="52"/>
      <c r="B3" s="52"/>
      <c r="C3" s="52"/>
      <c r="D3" s="52"/>
      <c r="E3" s="52"/>
      <c r="F3" s="52"/>
      <c r="G3" s="52"/>
    </row>
    <row r="4" spans="1:7" ht="28.5" customHeight="1">
      <c r="A4" s="9" t="s">
        <v>2</v>
      </c>
      <c r="B4" s="9" t="s">
        <v>3</v>
      </c>
      <c r="C4" s="9" t="s">
        <v>4</v>
      </c>
      <c r="D4" s="9" t="s">
        <v>5</v>
      </c>
      <c r="E4" s="9" t="s">
        <v>549</v>
      </c>
      <c r="F4" s="9" t="s">
        <v>4463</v>
      </c>
      <c r="G4" s="9" t="s">
        <v>6</v>
      </c>
    </row>
    <row r="5" spans="1:7" ht="15.9" customHeight="1">
      <c r="A5" s="6">
        <v>1</v>
      </c>
      <c r="B5" s="3" t="str">
        <f>HYPERLINK("https://www.thelancet.com/lancet-people","The Lancet")</f>
        <v>The Lancet</v>
      </c>
      <c r="C5" s="10">
        <v>98.4</v>
      </c>
      <c r="D5" s="3" t="s">
        <v>7</v>
      </c>
      <c r="E5" s="19" t="s">
        <v>4324</v>
      </c>
      <c r="F5" s="20" t="s">
        <v>4925</v>
      </c>
      <c r="G5" s="7"/>
    </row>
    <row r="6" spans="1:7" ht="15.9" customHeight="1">
      <c r="A6" s="6">
        <v>2</v>
      </c>
      <c r="B6" s="3" t="str">
        <f>HYPERLINK("https://www.nejm.org/about-nejm/editors-and-publishers","The New England Journal of Medicine")</f>
        <v>The New England Journal of Medicine</v>
      </c>
      <c r="C6" s="10">
        <v>96.2</v>
      </c>
      <c r="D6" s="3" t="s">
        <v>8</v>
      </c>
      <c r="E6" s="19" t="s">
        <v>4324</v>
      </c>
      <c r="F6" s="20" t="s">
        <v>4925</v>
      </c>
      <c r="G6" s="7"/>
    </row>
    <row r="7" spans="1:7" ht="15.9" customHeight="1">
      <c r="A7" s="6">
        <v>3</v>
      </c>
      <c r="B7" s="3" t="str">
        <f>HYPERLINK("https://www.bmj.com/about-bmj","British Medical Journal")</f>
        <v>British Medical Journal</v>
      </c>
      <c r="C7" s="10">
        <v>93.6</v>
      </c>
      <c r="D7" s="3" t="s">
        <v>721</v>
      </c>
      <c r="E7" s="19" t="s">
        <v>4324</v>
      </c>
      <c r="F7" s="20" t="s">
        <v>4925</v>
      </c>
      <c r="G7" s="7"/>
    </row>
    <row r="8" spans="1:7" ht="15.9" customHeight="1">
      <c r="A8" s="6">
        <v>4</v>
      </c>
      <c r="B8" s="3" t="str">
        <f>HYPERLINK("https://www.cell.com/cell/editorial-board","Cell")</f>
        <v>Cell</v>
      </c>
      <c r="C8" s="10">
        <v>66.849999999999994</v>
      </c>
      <c r="D8" s="3" t="s">
        <v>720</v>
      </c>
      <c r="E8" s="19" t="s">
        <v>4324</v>
      </c>
      <c r="F8" s="20" t="s">
        <v>4925</v>
      </c>
      <c r="G8" s="7"/>
    </row>
    <row r="9" spans="1:7" ht="15.9" customHeight="1">
      <c r="A9" s="6">
        <v>5</v>
      </c>
      <c r="B9" s="3" t="str">
        <f>HYPERLINK("https://jamanetwork.com/journals/jama","JAMA")</f>
        <v>JAMA</v>
      </c>
      <c r="C9" s="10">
        <v>63.1</v>
      </c>
      <c r="D9" s="3" t="s">
        <v>727</v>
      </c>
      <c r="E9" s="19" t="s">
        <v>4324</v>
      </c>
      <c r="F9" s="20" t="s">
        <v>4925</v>
      </c>
      <c r="G9" s="7"/>
    </row>
    <row r="10" spans="1:7" ht="15.9" customHeight="1">
      <c r="A10" s="6">
        <v>6</v>
      </c>
      <c r="B10" s="3" t="str">
        <f>HYPERLINK("https://onlinelibrary.wiley.com/journal/20515545","World Psychiatry")</f>
        <v>World Psychiatry</v>
      </c>
      <c r="C10" s="10">
        <v>60.5</v>
      </c>
      <c r="D10" s="3" t="s">
        <v>730</v>
      </c>
      <c r="E10" s="19">
        <v>4</v>
      </c>
      <c r="F10" s="20" t="s">
        <v>4925</v>
      </c>
      <c r="G10" s="7"/>
    </row>
    <row r="11" spans="1:7" ht="15.9" customHeight="1">
      <c r="A11" s="6">
        <v>7</v>
      </c>
      <c r="B11" s="3" t="str">
        <f>HYPERLINK("https://www.nature.com/nature/about/editors","Nature")</f>
        <v>Nature</v>
      </c>
      <c r="C11" s="10">
        <v>50.5</v>
      </c>
      <c r="D11" s="3" t="s">
        <v>718</v>
      </c>
      <c r="E11" s="19" t="s">
        <v>4324</v>
      </c>
      <c r="F11" s="20" t="s">
        <v>4925</v>
      </c>
      <c r="G11" s="7"/>
    </row>
    <row r="12" spans="1:7" ht="15.9" customHeight="1">
      <c r="A12" s="6">
        <v>8</v>
      </c>
      <c r="B12" s="3" t="str">
        <f>HYPERLINK("https://www.thelancet.com/journals/laneur/home","The Lancet Neurology")</f>
        <v>The Lancet Neurology</v>
      </c>
      <c r="C12" s="10">
        <v>46.5</v>
      </c>
      <c r="D12" s="3" t="s">
        <v>731</v>
      </c>
      <c r="E12" s="19">
        <v>8</v>
      </c>
      <c r="F12" s="20" t="s">
        <v>4925</v>
      </c>
      <c r="G12" s="7"/>
    </row>
    <row r="13" spans="1:7" ht="15.9" customHeight="1">
      <c r="A13" s="6">
        <v>9</v>
      </c>
      <c r="B13" s="3" t="str">
        <f>HYPERLINK("https://www.science.org/journal/science","Science")</f>
        <v>Science</v>
      </c>
      <c r="C13" s="10">
        <v>44.7</v>
      </c>
      <c r="D13" s="3" t="s">
        <v>719</v>
      </c>
      <c r="E13" s="19" t="s">
        <v>4324</v>
      </c>
      <c r="F13" s="20" t="s">
        <v>4925</v>
      </c>
      <c r="G13" s="7"/>
    </row>
    <row r="14" spans="1:7" ht="15.9" customHeight="1">
      <c r="A14" s="6">
        <v>10</v>
      </c>
      <c r="B14" s="3" t="str">
        <f>HYPERLINK("https://www.thelancet.com/lanpsy/about","The Lancet Psychiatry")</f>
        <v>The Lancet Psychiatry</v>
      </c>
      <c r="C14" s="10">
        <v>30.8</v>
      </c>
      <c r="D14" s="3" t="s">
        <v>4997</v>
      </c>
      <c r="E14" s="19">
        <v>4</v>
      </c>
      <c r="F14" s="20" t="s">
        <v>4925</v>
      </c>
      <c r="G14" s="7"/>
    </row>
    <row r="15" spans="1:7" ht="15.9" customHeight="1">
      <c r="A15" s="6">
        <v>11</v>
      </c>
      <c r="B15" s="3" t="str">
        <f>HYPERLINK("https://www.nature.com/nrn/","Nature Reviews Neuroscience")</f>
        <v>Nature Reviews Neuroscience</v>
      </c>
      <c r="C15" s="10">
        <v>28.7</v>
      </c>
      <c r="D15" s="3" t="s">
        <v>732</v>
      </c>
      <c r="E15" s="19">
        <v>8</v>
      </c>
      <c r="F15" s="20" t="s">
        <v>4925</v>
      </c>
      <c r="G15" s="7"/>
    </row>
    <row r="16" spans="1:7" ht="15.9" customHeight="1">
      <c r="A16" s="6">
        <v>12</v>
      </c>
      <c r="B16" s="3" t="str">
        <f>HYPERLINK("https://www.nature.com/nrneurol/","Nature Reviews Neurology")</f>
        <v>Nature Reviews Neurology</v>
      </c>
      <c r="C16" s="10">
        <v>28.2</v>
      </c>
      <c r="D16" s="3" t="s">
        <v>733</v>
      </c>
      <c r="E16" s="19">
        <v>8</v>
      </c>
      <c r="F16" s="20" t="s">
        <v>4925</v>
      </c>
      <c r="G16" s="7"/>
    </row>
    <row r="17" spans="1:7" ht="15.9" customHeight="1">
      <c r="A17" s="6">
        <v>13</v>
      </c>
      <c r="B17" s="3" t="str">
        <f>HYPERLINK("https://www.nature.com/cr/about/editorial-board","Cell Research")</f>
        <v>Cell Research</v>
      </c>
      <c r="C17" s="10">
        <v>28.1</v>
      </c>
      <c r="D17" s="3" t="s">
        <v>723</v>
      </c>
      <c r="E17" s="19" t="s">
        <v>4324</v>
      </c>
      <c r="F17" s="20" t="s">
        <v>4925</v>
      </c>
      <c r="G17" s="7"/>
    </row>
    <row r="18" spans="1:7" ht="15.9" customHeight="1">
      <c r="A18" s="6">
        <v>14</v>
      </c>
      <c r="B18" s="3" t="str">
        <f>HYPERLINK("https://www.annualreviews.org/content/journals/psych","Annual Review of Psychology")</f>
        <v>Annual Review of Psychology</v>
      </c>
      <c r="C18" s="10">
        <v>23.6</v>
      </c>
      <c r="D18" s="3" t="s">
        <v>734</v>
      </c>
      <c r="E18" s="19">
        <v>5</v>
      </c>
      <c r="F18" s="20" t="s">
        <v>4925</v>
      </c>
      <c r="G18" s="7"/>
    </row>
    <row r="19" spans="1:7" ht="15.9" customHeight="1">
      <c r="A19" s="6">
        <v>15</v>
      </c>
      <c r="B19" s="3" t="str">
        <f>HYPERLINK("https://jamanetwork.com/journals/jamapsychiatry","JAMA Psychiatry")</f>
        <v>JAMA Psychiatry</v>
      </c>
      <c r="C19" s="10">
        <v>22.5</v>
      </c>
      <c r="D19" s="3" t="s">
        <v>735</v>
      </c>
      <c r="E19" s="19">
        <v>4</v>
      </c>
      <c r="F19" s="20" t="s">
        <v>4925</v>
      </c>
      <c r="G19" s="7"/>
    </row>
    <row r="20" spans="1:7" ht="15.9" customHeight="1">
      <c r="A20" s="6">
        <v>16</v>
      </c>
      <c r="B20" s="3" t="str">
        <f>HYPERLINK("https://www.nature.com/neuro/","Nature Neuroscience")</f>
        <v>Nature Neuroscience</v>
      </c>
      <c r="C20" s="10">
        <v>21.2</v>
      </c>
      <c r="D20" s="3" t="s">
        <v>736</v>
      </c>
      <c r="E20" s="19">
        <v>8</v>
      </c>
      <c r="F20" s="20" t="s">
        <v>4925</v>
      </c>
      <c r="G20" s="7"/>
    </row>
    <row r="21" spans="1:7" ht="15.9" customHeight="1">
      <c r="A21" s="6">
        <v>17</v>
      </c>
      <c r="B21" s="3" t="str">
        <f>HYPERLINK("https://jamanetwork.com/journals/jamaneurology","JAMA Neurology")</f>
        <v>JAMA Neurology</v>
      </c>
      <c r="C21" s="10">
        <v>20.399999999999999</v>
      </c>
      <c r="D21" s="3" t="s">
        <v>737</v>
      </c>
      <c r="E21" s="19">
        <v>8</v>
      </c>
      <c r="F21" s="20" t="s">
        <v>4925</v>
      </c>
      <c r="G21" s="7"/>
    </row>
    <row r="22" spans="1:7" ht="15.9" customHeight="1">
      <c r="A22" s="6">
        <v>18</v>
      </c>
      <c r="B22" s="3" t="str">
        <f>HYPERLINK("https://annals.org/aim/pages/about-us","Annals of Internal Medicine")</f>
        <v>Annals of Internal Medicine</v>
      </c>
      <c r="C22" s="10">
        <v>19.600000000000001</v>
      </c>
      <c r="D22" s="3" t="s">
        <v>722</v>
      </c>
      <c r="E22" s="19" t="s">
        <v>4324</v>
      </c>
      <c r="F22" s="20" t="s">
        <v>4925</v>
      </c>
      <c r="G22" s="7"/>
    </row>
    <row r="23" spans="1:7" ht="15.9" customHeight="1">
      <c r="A23" s="6">
        <v>19</v>
      </c>
      <c r="B23" s="3" t="str">
        <f>HYPERLINK("https://www.annualreviews.org/content/journals/clinpsy","Annual Review of Clinical Psychology")</f>
        <v>Annual Review of Clinical Psychology</v>
      </c>
      <c r="C23" s="10">
        <v>17.8</v>
      </c>
      <c r="D23" s="3" t="s">
        <v>738</v>
      </c>
      <c r="E23" s="19">
        <v>5</v>
      </c>
      <c r="F23" s="20" t="s">
        <v>4925</v>
      </c>
      <c r="G23" s="7"/>
    </row>
    <row r="24" spans="1:7" ht="15.9" customHeight="1">
      <c r="A24" s="6">
        <v>20</v>
      </c>
      <c r="B24" s="3" t="str">
        <f>HYPERLINK("https://karger.com/pps","Psychotherapy and Psychosomatics")</f>
        <v>Psychotherapy and Psychosomatics</v>
      </c>
      <c r="C24" s="10">
        <v>16.3</v>
      </c>
      <c r="D24" s="3" t="s">
        <v>739</v>
      </c>
      <c r="E24" s="19">
        <v>5</v>
      </c>
      <c r="F24" s="20" t="s">
        <v>4925</v>
      </c>
      <c r="G24" s="7"/>
    </row>
    <row r="25" spans="1:7" ht="15.9" customHeight="1">
      <c r="A25" s="6">
        <v>21</v>
      </c>
      <c r="B25" s="3" t="str">
        <f>HYPERLINK("https://psychiatryonline.org/ajp/about","The American Journal of Psychiatry")</f>
        <v>The American Journal of Psychiatry</v>
      </c>
      <c r="C25" s="10">
        <v>15.1</v>
      </c>
      <c r="D25" s="3" t="s">
        <v>740</v>
      </c>
      <c r="E25" s="19">
        <v>4</v>
      </c>
      <c r="F25" s="20" t="s">
        <v>4925</v>
      </c>
      <c r="G25" s="7"/>
    </row>
    <row r="26" spans="1:7" ht="15.9" customHeight="1">
      <c r="A26" s="6">
        <v>22</v>
      </c>
      <c r="B26" s="3" t="str">
        <f>HYPERLINK("https://www.cell.com/trends/neurosciences/home","Trends in Neurosciences")</f>
        <v>Trends in Neurosciences</v>
      </c>
      <c r="C26" s="10">
        <v>14.6</v>
      </c>
      <c r="D26" s="3" t="s">
        <v>741</v>
      </c>
      <c r="E26" s="19">
        <v>8</v>
      </c>
      <c r="F26" s="20" t="s">
        <v>4925</v>
      </c>
      <c r="G26" s="7"/>
    </row>
    <row r="27" spans="1:7" ht="15.9" customHeight="1">
      <c r="A27" s="6">
        <v>23</v>
      </c>
      <c r="B27" s="3" t="str">
        <f>HYPERLINK("https://www.sciencedirect.com/journal/clinical-psychology-review","Clinical Psychology Review")</f>
        <v>Clinical Psychology Review</v>
      </c>
      <c r="C27" s="10">
        <v>13.7</v>
      </c>
      <c r="D27" s="3" t="s">
        <v>742</v>
      </c>
      <c r="E27" s="19">
        <v>5</v>
      </c>
      <c r="F27" s="20" t="s">
        <v>4925</v>
      </c>
      <c r="G27" s="7"/>
    </row>
    <row r="28" spans="1:7" ht="15.9" customHeight="1">
      <c r="A28" s="6">
        <v>24</v>
      </c>
      <c r="B28" s="3" t="str">
        <f>HYPERLINK("https://www.thelancet.com/journals/lanhl/home","The Lancet Healthy Longevity")</f>
        <v>The Lancet Healthy Longevity</v>
      </c>
      <c r="C28" s="10">
        <v>13.4</v>
      </c>
      <c r="D28" s="3" t="s">
        <v>4960</v>
      </c>
      <c r="E28" s="19">
        <v>9</v>
      </c>
      <c r="F28" s="20" t="s">
        <v>4925</v>
      </c>
      <c r="G28" s="7"/>
    </row>
    <row r="29" spans="1:7" ht="15.9" customHeight="1">
      <c r="A29" s="6">
        <v>25</v>
      </c>
      <c r="B29" s="3" t="str">
        <f>HYPERLINK("https://alz-journals.onlinelibrary.wiley.com/journal/15525279","Alzheimers &amp; Dementia")</f>
        <v>Alzheimers &amp; Dementia</v>
      </c>
      <c r="C29" s="10">
        <v>13</v>
      </c>
      <c r="D29" s="3" t="s">
        <v>4339</v>
      </c>
      <c r="E29" s="19">
        <v>6</v>
      </c>
      <c r="F29" s="20" t="s">
        <v>4335</v>
      </c>
      <c r="G29" s="7"/>
    </row>
    <row r="30" spans="1:7" ht="15.9" customHeight="1">
      <c r="A30" s="6">
        <v>26</v>
      </c>
      <c r="B30" s="3" t="str">
        <f>HYPERLINK("https://www.annualreviews.org/content/journals/neuro","Annual Review of Neuroscience")</f>
        <v>Annual Review of Neuroscience</v>
      </c>
      <c r="C30" s="10">
        <v>12.1</v>
      </c>
      <c r="D30" s="3" t="s">
        <v>743</v>
      </c>
      <c r="E30" s="19">
        <v>8</v>
      </c>
      <c r="F30" s="20" t="s">
        <v>4925</v>
      </c>
      <c r="G30" s="7"/>
    </row>
    <row r="31" spans="1:7" ht="15.9" customHeight="1">
      <c r="A31" s="6">
        <v>27</v>
      </c>
      <c r="B31" s="3" t="str">
        <f>HYPERLINK("https://onlinelibrary.wiley.com/page/journal/1469185x/homepage/editorialboard.html","Biological Reviews")</f>
        <v>Biological Reviews</v>
      </c>
      <c r="C31" s="10">
        <v>11</v>
      </c>
      <c r="D31" s="3" t="s">
        <v>724</v>
      </c>
      <c r="E31" s="19" t="s">
        <v>4324</v>
      </c>
      <c r="F31" s="20" t="s">
        <v>4925</v>
      </c>
      <c r="G31" s="7"/>
    </row>
    <row r="32" spans="1:7" ht="15.9" customHeight="1">
      <c r="A32" s="6">
        <v>28</v>
      </c>
      <c r="B32" s="3" t="str">
        <f>HYPERLINK("https://www.cambridge.org/core/journals/the-british-journal-of-psychiatry/information/about-this-journal","The British Journal of Psychiatry")</f>
        <v>The British Journal of Psychiatry</v>
      </c>
      <c r="C32" s="10">
        <v>10.670999999999999</v>
      </c>
      <c r="D32" s="3" t="s">
        <v>744</v>
      </c>
      <c r="E32" s="19">
        <v>4</v>
      </c>
      <c r="F32" s="20" t="s">
        <v>4925</v>
      </c>
      <c r="G32" s="7"/>
    </row>
    <row r="33" spans="1:7" ht="15.9" customHeight="1">
      <c r="A33" s="6">
        <v>29</v>
      </c>
      <c r="B33" s="3" t="str">
        <f>HYPERLINK("https://journals.plos.org/plosmedicine/s/editorial-board","PLOS Medicine")</f>
        <v>PLOS Medicine</v>
      </c>
      <c r="C33" s="10">
        <v>10.5</v>
      </c>
      <c r="D33" s="3" t="s">
        <v>725</v>
      </c>
      <c r="E33" s="19" t="s">
        <v>4324</v>
      </c>
      <c r="F33" s="20" t="s">
        <v>4925</v>
      </c>
      <c r="G33" s="7"/>
    </row>
    <row r="34" spans="1:7" ht="15.9" customHeight="1">
      <c r="A34" s="6">
        <v>30</v>
      </c>
      <c r="B34" s="3" t="str">
        <f>HYPERLINK("https://www.tandfonline.com/journals/pers20","European Review of Social Psychology")</f>
        <v>European Review of Social Psychology</v>
      </c>
      <c r="C34" s="10">
        <v>10.1</v>
      </c>
      <c r="D34" s="3" t="s">
        <v>745</v>
      </c>
      <c r="E34" s="19">
        <v>5</v>
      </c>
      <c r="F34" s="20" t="s">
        <v>4925</v>
      </c>
      <c r="G34" s="7"/>
    </row>
    <row r="35" spans="1:7" ht="15.9" customHeight="1">
      <c r="A35" s="6">
        <v>31</v>
      </c>
      <c r="B35" s="3" t="str">
        <f>HYPERLINK("https://www.neurology.org/journal/wnl","Neurology")</f>
        <v>Neurology</v>
      </c>
      <c r="C35" s="10">
        <v>10.1</v>
      </c>
      <c r="D35" s="3" t="s">
        <v>4999</v>
      </c>
      <c r="E35" s="19">
        <v>8</v>
      </c>
      <c r="F35" s="20" t="s">
        <v>4925</v>
      </c>
      <c r="G35" s="7"/>
    </row>
    <row r="36" spans="1:7" ht="15.9" customHeight="1">
      <c r="A36" s="6">
        <v>32</v>
      </c>
      <c r="B36" s="3" t="str">
        <f>HYPERLINK("https://www.sciencedirect.com/journal/biological-psychiatry","Biological Psychiatry")</f>
        <v>Biological Psychiatry</v>
      </c>
      <c r="C36" s="10">
        <v>9.6</v>
      </c>
      <c r="D36" s="3" t="s">
        <v>746</v>
      </c>
      <c r="E36" s="19">
        <v>4</v>
      </c>
      <c r="F36" s="20" t="s">
        <v>4925</v>
      </c>
      <c r="G36" s="7"/>
    </row>
    <row r="37" spans="1:7" ht="15.9" customHeight="1">
      <c r="A37" s="6">
        <v>33</v>
      </c>
      <c r="B37" s="3" t="str">
        <f>HYPERLINK("https://www.embopress.org/page/journal/14602075/editors","EMBO Journal")</f>
        <v>EMBO Journal</v>
      </c>
      <c r="C37" s="10">
        <v>9.4</v>
      </c>
      <c r="D37" s="3" t="s">
        <v>726</v>
      </c>
      <c r="E37" s="19" t="s">
        <v>4324</v>
      </c>
      <c r="F37" s="20" t="s">
        <v>4925</v>
      </c>
      <c r="G37" s="7"/>
    </row>
    <row r="38" spans="1:7" ht="15.9" customHeight="1">
      <c r="A38" s="6">
        <v>34</v>
      </c>
      <c r="B38" s="3" t="str">
        <f>HYPERLINK("https://www.apa.org/pubs/journals/apl","Journal of Applied Psychology")</f>
        <v>Journal of Applied Psychology</v>
      </c>
      <c r="C38" s="10">
        <v>9.4</v>
      </c>
      <c r="D38" s="3" t="s">
        <v>747</v>
      </c>
      <c r="E38" s="19">
        <v>5</v>
      </c>
      <c r="F38" s="20" t="s">
        <v>4925</v>
      </c>
      <c r="G38" s="7"/>
    </row>
    <row r="39" spans="1:7" ht="15.9" customHeight="1">
      <c r="A39" s="6">
        <v>35</v>
      </c>
      <c r="B39" s="3" t="str">
        <f>HYPERLINK("https://www.sciencedirect.com/journal/journal-of-the-american-academy-of-child-and-adolescent-psychiatry","Journal of the American Academy of Child &amp; Adolescent Psychiatry")</f>
        <v>Journal of the American Academy of Child &amp; Adolescent Psychiatry</v>
      </c>
      <c r="C39" s="10">
        <v>9.1999999999999993</v>
      </c>
      <c r="D39" s="3" t="s">
        <v>748</v>
      </c>
      <c r="E39" s="19">
        <v>4</v>
      </c>
      <c r="F39" s="20" t="s">
        <v>4925</v>
      </c>
      <c r="G39" s="7"/>
    </row>
    <row r="40" spans="1:7" ht="15.9" customHeight="1">
      <c r="A40" s="6">
        <v>36</v>
      </c>
      <c r="B40" s="3" t="str">
        <f>HYPERLINK("https://onlinelibrary.wiley.com/journal/mij","Mental Illness")</f>
        <v>Mental Illness</v>
      </c>
      <c r="C40" s="10">
        <v>9</v>
      </c>
      <c r="D40" s="3" t="s">
        <v>749</v>
      </c>
      <c r="E40" s="19">
        <v>4</v>
      </c>
      <c r="F40" s="20" t="s">
        <v>4925</v>
      </c>
      <c r="G40" s="7"/>
    </row>
    <row r="41" spans="1:7" ht="15.9" customHeight="1">
      <c r="A41" s="6">
        <v>37</v>
      </c>
      <c r="B41" s="3" t="str">
        <f>HYPERLINK("https://jnnp.bmj.com/","Journal of Neurology, Neurosurgery and Psychiatry")</f>
        <v>Journal of Neurology, Neurosurgery and Psychiatry</v>
      </c>
      <c r="C41" s="10">
        <v>8.6999999999999993</v>
      </c>
      <c r="D41" s="3" t="s">
        <v>750</v>
      </c>
      <c r="E41" s="19">
        <v>4</v>
      </c>
      <c r="F41" s="20" t="s">
        <v>4925</v>
      </c>
      <c r="G41" s="7"/>
    </row>
    <row r="42" spans="1:7" ht="15.9" customHeight="1">
      <c r="A42" s="6">
        <v>38</v>
      </c>
      <c r="B42" s="3" t="str">
        <f>HYPERLINK("https://link.springer.com/journal/42414","The Journal of Prevention of Alzheimer's Disease")</f>
        <v>The Journal of Prevention of Alzheimer's Disease</v>
      </c>
      <c r="C42" s="10">
        <v>8.5</v>
      </c>
      <c r="D42" s="3" t="s">
        <v>4340</v>
      </c>
      <c r="E42" s="19">
        <v>6</v>
      </c>
      <c r="F42" s="20" t="s">
        <v>4335</v>
      </c>
      <c r="G42" s="7"/>
    </row>
    <row r="43" spans="1:7" ht="15.9" customHeight="1">
      <c r="A43" s="6">
        <v>39</v>
      </c>
      <c r="B43" s="3" t="str">
        <f>HYPERLINK("https://onlinelibrary.wiley.com/journal/15318249","Annals of Neurology")</f>
        <v>Annals of Neurology</v>
      </c>
      <c r="C43" s="10">
        <v>8.1</v>
      </c>
      <c r="D43" s="3" t="s">
        <v>751</v>
      </c>
      <c r="E43" s="19">
        <v>8</v>
      </c>
      <c r="F43" s="20" t="s">
        <v>4925</v>
      </c>
      <c r="G43" s="7"/>
    </row>
    <row r="44" spans="1:7" ht="15.9" customHeight="1">
      <c r="A44" s="6">
        <v>40</v>
      </c>
      <c r="B44" s="3" t="str">
        <f>HYPERLINK("https://alzres.biomedcentral.com/about","Alzheimer's Research &amp; Therapy")</f>
        <v>Alzheimer's Research &amp; Therapy</v>
      </c>
      <c r="C44" s="10">
        <v>7.9</v>
      </c>
      <c r="D44" s="3" t="s">
        <v>4345</v>
      </c>
      <c r="E44" s="19">
        <v>6</v>
      </c>
      <c r="F44" s="20" t="s">
        <v>4335</v>
      </c>
      <c r="G44" s="7"/>
    </row>
    <row r="45" spans="1:7" ht="15.9" customHeight="1">
      <c r="A45" s="6">
        <v>41</v>
      </c>
      <c r="B45" s="3" t="str">
        <f>HYPERLINK("https://www.cambridge.org/core/journals/european-psychiatry/information/about-this-journal","European Psychiatry")</f>
        <v>European Psychiatry</v>
      </c>
      <c r="C45" s="10">
        <v>7.8</v>
      </c>
      <c r="D45" s="3" t="s">
        <v>752</v>
      </c>
      <c r="E45" s="19">
        <v>4</v>
      </c>
      <c r="F45" s="20" t="s">
        <v>4925</v>
      </c>
      <c r="G45" s="7"/>
    </row>
    <row r="46" spans="1:7" ht="15.9" customHeight="1">
      <c r="A46" s="6">
        <v>42</v>
      </c>
      <c r="B46" s="3" t="str">
        <f>HYPERLINK("https://journals.sagepub.com/home/psr","Personality and Social Psychology Review")</f>
        <v>Personality and Social Psychology Review</v>
      </c>
      <c r="C46" s="10">
        <v>7.7</v>
      </c>
      <c r="D46" s="3" t="s">
        <v>753</v>
      </c>
      <c r="E46" s="19">
        <v>5</v>
      </c>
      <c r="F46" s="20" t="s">
        <v>4925</v>
      </c>
      <c r="G46" s="7"/>
    </row>
    <row r="47" spans="1:7" ht="15.9" customHeight="1">
      <c r="A47" s="6">
        <v>43</v>
      </c>
      <c r="B47" s="3" t="str">
        <f>HYPERLINK("https://journals.lww.com/co-psychiatry/pages/default.aspx","Current Opinion in Psychiatry")</f>
        <v>Current Opinion in Psychiatry</v>
      </c>
      <c r="C47" s="10">
        <v>7.5</v>
      </c>
      <c r="D47" s="3" t="s">
        <v>754</v>
      </c>
      <c r="E47" s="19">
        <v>4</v>
      </c>
      <c r="F47" s="20" t="s">
        <v>4925</v>
      </c>
      <c r="G47" s="7"/>
    </row>
    <row r="48" spans="1:7" ht="15.9" customHeight="1">
      <c r="A48" s="6">
        <v>44</v>
      </c>
      <c r="B48" s="3" t="str">
        <f>HYPERLINK("https://www.sciencedirect.com/journal/neuroscience-and-biobehavioral-reviews","Neuroscience &amp; Biobehavioral Reviews")</f>
        <v>Neuroscience &amp; Biobehavioral Reviews</v>
      </c>
      <c r="C48" s="10">
        <v>7.5</v>
      </c>
      <c r="D48" s="3" t="s">
        <v>755</v>
      </c>
      <c r="E48" s="19">
        <v>8</v>
      </c>
      <c r="F48" s="20" t="s">
        <v>4925</v>
      </c>
      <c r="G48" s="7"/>
    </row>
    <row r="49" spans="1:7" ht="15.9" customHeight="1">
      <c r="A49" s="6">
        <v>45</v>
      </c>
      <c r="B49" s="3" t="str">
        <f>HYPERLINK("https://iaap-journals.onlinelibrary.wiley.com/journal/14640597","Applied Psychology: An International Review - Psychologie Appliquée: Revue Internationale")</f>
        <v>Applied Psychology: An International Review - Psychologie Appliquée: Revue Internationale</v>
      </c>
      <c r="C49" s="10">
        <v>7.2</v>
      </c>
      <c r="D49" s="3" t="s">
        <v>756</v>
      </c>
      <c r="E49" s="19">
        <v>5</v>
      </c>
      <c r="F49" s="20" t="s">
        <v>4925</v>
      </c>
      <c r="G49" s="7"/>
    </row>
    <row r="50" spans="1:7" ht="15.9" customHeight="1">
      <c r="A50" s="6">
        <v>46</v>
      </c>
      <c r="B50" s="3" t="str">
        <f>HYPERLINK("https://www.cambridge.org/core/journals/international-psychogeriatrics/information/about-this-journal","International Psychogeriatrics")</f>
        <v>International Psychogeriatrics</v>
      </c>
      <c r="C50" s="10">
        <v>7.1909999999999998</v>
      </c>
      <c r="D50" s="3" t="s">
        <v>4347</v>
      </c>
      <c r="E50" s="19">
        <v>5</v>
      </c>
      <c r="F50" s="20" t="s">
        <v>4925</v>
      </c>
      <c r="G50" s="7"/>
    </row>
    <row r="51" spans="1:7" ht="15.9" customHeight="1">
      <c r="A51" s="6">
        <v>47</v>
      </c>
      <c r="B51" s="3" t="str">
        <f>HYPERLINK("https://www.aginganddisease.org/EN/2152-5250/home.shtml","Aging and Disease")</f>
        <v>Aging and Disease</v>
      </c>
      <c r="C51" s="10">
        <v>7</v>
      </c>
      <c r="D51" s="3" t="s">
        <v>4961</v>
      </c>
      <c r="E51" s="19">
        <v>9</v>
      </c>
      <c r="F51" s="20" t="s">
        <v>4925</v>
      </c>
      <c r="G51" s="7"/>
    </row>
    <row r="52" spans="1:7" ht="15.9" customHeight="1">
      <c r="A52" s="6">
        <v>48</v>
      </c>
      <c r="B52" s="3" t="str">
        <f>HYPERLINK("https://acamh.onlinelibrary.wiley.com/journal/14753588","Child and Adolescent Mental Health")</f>
        <v>Child and Adolescent Mental Health</v>
      </c>
      <c r="C52" s="10">
        <v>6.8</v>
      </c>
      <c r="D52" s="3" t="s">
        <v>757</v>
      </c>
      <c r="E52" s="19">
        <v>4</v>
      </c>
      <c r="F52" s="20" t="s">
        <v>4925</v>
      </c>
      <c r="G52" s="7"/>
    </row>
    <row r="53" spans="1:7" ht="15.9" customHeight="1">
      <c r="A53" s="6">
        <v>49</v>
      </c>
      <c r="B53" s="3" t="str">
        <f>HYPERLINK("https://mentalhealth.bmj.com/","Evidence-Based Mental Health")</f>
        <v>Evidence-Based Mental Health</v>
      </c>
      <c r="C53" s="10">
        <v>6.6</v>
      </c>
      <c r="D53" s="3" t="s">
        <v>758</v>
      </c>
      <c r="E53" s="19">
        <v>4</v>
      </c>
      <c r="F53" s="20" t="s">
        <v>4925</v>
      </c>
      <c r="G53" s="7"/>
    </row>
    <row r="54" spans="1:7" ht="15.9" customHeight="1">
      <c r="A54" s="6">
        <v>50</v>
      </c>
      <c r="B54" s="3" t="str">
        <f>HYPERLINK("https://www.tandfonline.com/journals/rhpr20","Health Psychology Review")</f>
        <v>Health Psychology Review</v>
      </c>
      <c r="C54" s="10">
        <v>6.6</v>
      </c>
      <c r="D54" s="3" t="s">
        <v>759</v>
      </c>
      <c r="E54" s="19">
        <v>5</v>
      </c>
      <c r="F54" s="20" t="s">
        <v>4925</v>
      </c>
      <c r="G54" s="7"/>
    </row>
    <row r="55" spans="1:7" ht="15.9" customHeight="1">
      <c r="A55" s="6">
        <v>51</v>
      </c>
      <c r="B55" s="3" t="str">
        <f>HYPERLINK("https://www.clinicalneuropsychiatry.org/","Clinical Neuropsychiatry")</f>
        <v>Clinical Neuropsychiatry</v>
      </c>
      <c r="C55" s="10">
        <v>6.49</v>
      </c>
      <c r="D55" s="3" t="s">
        <v>760</v>
      </c>
      <c r="E55" s="19">
        <v>3</v>
      </c>
      <c r="F55" s="20" t="s">
        <v>4325</v>
      </c>
      <c r="G55" s="7"/>
    </row>
    <row r="56" spans="1:7" ht="15.9" customHeight="1">
      <c r="A56" s="6">
        <v>52</v>
      </c>
      <c r="B56" s="3" t="str">
        <f>HYPERLINK("https://www.clinicalschizophrenia.net/","Clinical Schizophrenia and Related Psychoses")</f>
        <v>Clinical Schizophrenia and Related Psychoses</v>
      </c>
      <c r="C56" s="10">
        <v>6.49</v>
      </c>
      <c r="D56" s="3" t="s">
        <v>761</v>
      </c>
      <c r="E56" s="19">
        <v>1</v>
      </c>
      <c r="F56" s="20" t="s">
        <v>371</v>
      </c>
      <c r="G56" s="7"/>
    </row>
    <row r="57" spans="1:7" ht="15.9" customHeight="1">
      <c r="A57" s="6">
        <v>53</v>
      </c>
      <c r="B57" s="3" t="str">
        <f>HYPERLINK("https://www.sciencedirect.com/journal/current-opinion-in-psychology","Current Opinion in Psychology")</f>
        <v>Current Opinion in Psychology</v>
      </c>
      <c r="C57" s="10">
        <v>6.3</v>
      </c>
      <c r="D57" s="3" t="s">
        <v>762</v>
      </c>
      <c r="E57" s="19">
        <v>5</v>
      </c>
      <c r="F57" s="20" t="s">
        <v>4925</v>
      </c>
      <c r="G57" s="7"/>
    </row>
    <row r="58" spans="1:7" ht="15.9" customHeight="1">
      <c r="A58" s="6">
        <v>54</v>
      </c>
      <c r="B58" s="3" t="str">
        <f>HYPERLINK("https://academic.oup.com/ageing","Age and Ageing")</f>
        <v>Age and Ageing</v>
      </c>
      <c r="C58" s="10">
        <v>6</v>
      </c>
      <c r="D58" s="3" t="s">
        <v>4962</v>
      </c>
      <c r="E58" s="19">
        <v>9</v>
      </c>
      <c r="F58" s="20" t="s">
        <v>4925</v>
      </c>
      <c r="G58" s="7"/>
    </row>
    <row r="59" spans="1:7" ht="15.9" customHeight="1">
      <c r="A59" s="6">
        <v>55</v>
      </c>
      <c r="B59" s="3" t="str">
        <f>HYPERLINK("https://link.springer.com/journal/787/editors","European Child &amp; Adolescent Psychiatry")</f>
        <v>European Child &amp; Adolescent Psychiatry</v>
      </c>
      <c r="C59" s="10">
        <v>6</v>
      </c>
      <c r="D59" s="3" t="s">
        <v>763</v>
      </c>
      <c r="E59" s="19">
        <v>4</v>
      </c>
      <c r="F59" s="20" t="s">
        <v>4925</v>
      </c>
      <c r="G59" s="7"/>
    </row>
    <row r="60" spans="1:7" ht="15.9" customHeight="1">
      <c r="A60" s="6">
        <v>56</v>
      </c>
      <c r="B60" s="3" t="str">
        <f>HYPERLINK("https://www.sciencedirect.com/journal/international-journal-of-clinical-and-health-psychology","International Journal of Clinical and Health Psychology")</f>
        <v>International Journal of Clinical and Health Psychology</v>
      </c>
      <c r="C60" s="10">
        <v>5.9</v>
      </c>
      <c r="D60" s="3" t="s">
        <v>764</v>
      </c>
      <c r="E60" s="19">
        <v>5</v>
      </c>
      <c r="F60" s="20" t="s">
        <v>4925</v>
      </c>
      <c r="G60" s="7"/>
    </row>
    <row r="61" spans="1:7" ht="15.9" customHeight="1">
      <c r="A61" s="6">
        <v>57</v>
      </c>
      <c r="B61" s="3" t="str">
        <f>HYPERLINK("https://www.nature.com/tp/","Translational Psychiatry")</f>
        <v>Translational Psychiatry</v>
      </c>
      <c r="C61" s="10">
        <v>5.8</v>
      </c>
      <c r="D61" s="3" t="s">
        <v>765</v>
      </c>
      <c r="E61" s="19">
        <v>4</v>
      </c>
      <c r="F61" s="20" t="s">
        <v>4925</v>
      </c>
      <c r="G61" s="7"/>
    </row>
    <row r="62" spans="1:7" ht="15.9" customHeight="1">
      <c r="A62" s="6">
        <v>58</v>
      </c>
      <c r="B62" s="3" t="str">
        <f>HYPERLINK("https://link.springer.com/journal/406","European Archives of Psychiatry and Clinical Neuroscience")</f>
        <v>European Archives of Psychiatry and Clinical Neuroscience</v>
      </c>
      <c r="C62" s="10">
        <v>5.76</v>
      </c>
      <c r="D62" s="3" t="s">
        <v>766</v>
      </c>
      <c r="E62" s="19">
        <v>4</v>
      </c>
      <c r="F62" s="20" t="s">
        <v>4925</v>
      </c>
      <c r="G62" s="7"/>
    </row>
    <row r="63" spans="1:7" ht="15.9" customHeight="1">
      <c r="A63" s="6">
        <v>59</v>
      </c>
      <c r="B63" s="3" t="str">
        <f>HYPERLINK("https://www.sciencedirect.com/journal/biological-psychiatry-cognitive-neuroscience-and-neuroimaging","Biological Psychiatry-Cognitive Neuroscience and Neuroimaging")</f>
        <v>Biological Psychiatry-Cognitive Neuroscience and Neuroimaging</v>
      </c>
      <c r="C63" s="10">
        <v>5.7</v>
      </c>
      <c r="D63" s="3" t="s">
        <v>768</v>
      </c>
      <c r="E63" s="19">
        <v>4</v>
      </c>
      <c r="F63" s="20" t="s">
        <v>4925</v>
      </c>
      <c r="G63" s="7"/>
    </row>
    <row r="64" spans="1:7" ht="15.9" customHeight="1">
      <c r="A64" s="6">
        <v>60</v>
      </c>
      <c r="B64" s="3" t="str">
        <f>HYPERLINK("https://www.nature.com/npjschz/","Schizophrenia")</f>
        <v>Schizophrenia</v>
      </c>
      <c r="C64" s="10">
        <v>5.7</v>
      </c>
      <c r="D64" s="3" t="s">
        <v>767</v>
      </c>
      <c r="E64" s="19">
        <v>1</v>
      </c>
      <c r="F64" s="20" t="s">
        <v>371</v>
      </c>
      <c r="G64" s="7"/>
    </row>
    <row r="65" spans="1:7" ht="15.9" customHeight="1">
      <c r="A65" s="6">
        <v>61</v>
      </c>
      <c r="B65" s="3" t="str">
        <f>HYPERLINK("https://link.springer.com/journal/11920","Current Psychiatry Reports")</f>
        <v>Current Psychiatry Reports</v>
      </c>
      <c r="C65" s="10">
        <v>5.5</v>
      </c>
      <c r="D65" s="3" t="s">
        <v>769</v>
      </c>
      <c r="E65" s="19">
        <v>4</v>
      </c>
      <c r="F65" s="20" t="s">
        <v>4925</v>
      </c>
      <c r="G65" s="7"/>
    </row>
    <row r="66" spans="1:7" ht="15.9" customHeight="1">
      <c r="A66" s="6">
        <v>62</v>
      </c>
      <c r="B66" s="3" t="str">
        <f>HYPERLINK("https://www.jahonline.org/","Journal of Adolescent Health")</f>
        <v>Journal of Adolescent Health</v>
      </c>
      <c r="C66" s="10">
        <v>5.5</v>
      </c>
      <c r="D66" s="3" t="s">
        <v>4963</v>
      </c>
      <c r="E66" s="19">
        <v>9</v>
      </c>
      <c r="F66" s="20" t="s">
        <v>4925</v>
      </c>
      <c r="G66" s="7"/>
    </row>
    <row r="67" spans="1:7" ht="15.9" customHeight="1">
      <c r="A67" s="6">
        <v>63</v>
      </c>
      <c r="B67" s="3" t="str">
        <f>HYPERLINK("https://www.nature.com/npjamd/","Nature Aging")</f>
        <v>Nature Aging</v>
      </c>
      <c r="C67" s="10">
        <v>5.4</v>
      </c>
      <c r="D67" s="3" t="s">
        <v>4964</v>
      </c>
      <c r="E67" s="19">
        <v>9</v>
      </c>
      <c r="F67" s="20" t="s">
        <v>4925</v>
      </c>
      <c r="G67" s="7"/>
    </row>
    <row r="68" spans="1:7" ht="15.9" customHeight="1">
      <c r="A68" s="6">
        <v>64</v>
      </c>
      <c r="B68" s="3" t="str">
        <f>HYPERLINK("https://link.springer.com/journal/11065","Neuropsychology Review")</f>
        <v>Neuropsychology Review</v>
      </c>
      <c r="C68" s="10">
        <v>5.4</v>
      </c>
      <c r="D68" s="3" t="s">
        <v>770</v>
      </c>
      <c r="E68" s="19">
        <v>5</v>
      </c>
      <c r="F68" s="20" t="s">
        <v>4925</v>
      </c>
      <c r="G68" s="7"/>
    </row>
    <row r="69" spans="1:7" ht="15.9" customHeight="1">
      <c r="A69" s="6">
        <v>65</v>
      </c>
      <c r="B69" s="3" t="str">
        <f>HYPERLINK("https://gpsych.bmj.com/","General Psychiatry")</f>
        <v>General Psychiatry</v>
      </c>
      <c r="C69" s="10">
        <v>5.3</v>
      </c>
      <c r="D69" s="3" t="s">
        <v>773</v>
      </c>
      <c r="E69" s="19">
        <v>4</v>
      </c>
      <c r="F69" s="20" t="s">
        <v>4925</v>
      </c>
      <c r="G69" s="7"/>
    </row>
    <row r="70" spans="1:7" ht="15.9" customHeight="1">
      <c r="A70" s="6">
        <v>66</v>
      </c>
      <c r="B70" s="3" t="str">
        <f>HYPERLINK("https://www.psychiatrist.com/jcp/about-jcp/","Journal of Clinical Psychiatry")</f>
        <v>Journal of Clinical Psychiatry</v>
      </c>
      <c r="C70" s="10">
        <v>5.3</v>
      </c>
      <c r="D70" s="3" t="s">
        <v>772</v>
      </c>
      <c r="E70" s="19">
        <v>4</v>
      </c>
      <c r="F70" s="20" t="s">
        <v>4925</v>
      </c>
      <c r="G70" s="7"/>
    </row>
    <row r="71" spans="1:7" ht="15.9" customHeight="1">
      <c r="A71" s="6">
        <v>67</v>
      </c>
      <c r="B71" s="3" t="str">
        <f>HYPERLINK("https://academic.oup.com/schizophreniabulletin","Schizophrenia Bulletin")</f>
        <v>Schizophrenia Bulletin</v>
      </c>
      <c r="C71" s="10">
        <v>5.3</v>
      </c>
      <c r="D71" s="3" t="s">
        <v>771</v>
      </c>
      <c r="E71" s="19">
        <v>1</v>
      </c>
      <c r="F71" s="20" t="s">
        <v>371</v>
      </c>
      <c r="G71" s="7"/>
    </row>
    <row r="72" spans="1:7" ht="15.9" customHeight="1">
      <c r="A72" s="6">
        <v>68</v>
      </c>
      <c r="B72" s="3" t="str">
        <f>HYPERLINK("https://www.sciencedirect.com/journal/progress-in-neuro-psychopharmacology-and-biological-psychiatry","Progress in Neuro-Psychopharmacology and Biological Psychiatry")</f>
        <v>Progress in Neuro-Psychopharmacology and Biological Psychiatry</v>
      </c>
      <c r="C72" s="10">
        <v>5.2009999999999996</v>
      </c>
      <c r="D72" s="3" t="s">
        <v>774</v>
      </c>
      <c r="E72" s="19">
        <v>4</v>
      </c>
      <c r="F72" s="20" t="s">
        <v>4925</v>
      </c>
      <c r="G72" s="7"/>
    </row>
    <row r="73" spans="1:7" ht="15.9" customHeight="1">
      <c r="A73" s="6">
        <v>69</v>
      </c>
      <c r="B73" s="3" t="str">
        <f>HYPERLINK("https://aging.jmir.org/","JMIR Aging")</f>
        <v>JMIR Aging</v>
      </c>
      <c r="C73" s="10">
        <v>5</v>
      </c>
      <c r="D73" s="3" t="s">
        <v>4965</v>
      </c>
      <c r="E73" s="19">
        <v>9</v>
      </c>
      <c r="F73" s="20" t="s">
        <v>4925</v>
      </c>
      <c r="G73" s="7"/>
    </row>
    <row r="74" spans="1:7" ht="15.9" customHeight="1">
      <c r="A74" s="6">
        <v>70</v>
      </c>
      <c r="B74" s="3" t="str">
        <f>HYPERLINK("https://onlinelibrary.wiley.com/journal/14401819","Psychiatry and Clinical Neurosciences")</f>
        <v>Psychiatry and Clinical Neurosciences</v>
      </c>
      <c r="C74" s="10">
        <v>5</v>
      </c>
      <c r="D74" s="3" t="s">
        <v>775</v>
      </c>
      <c r="E74" s="19">
        <v>4</v>
      </c>
      <c r="F74" s="20" t="s">
        <v>4925</v>
      </c>
      <c r="G74" s="7"/>
    </row>
    <row r="75" spans="1:7" ht="15.9" customHeight="1">
      <c r="A75" s="6">
        <v>71</v>
      </c>
      <c r="B75" s="3" t="str">
        <f>HYPERLINK("https://alz-journals.onlinelibrary.wiley.com/journal/23528737","Alzheimers &amp; Dementia-Translational Research &amp; Clinical Interventions")</f>
        <v>Alzheimers &amp; Dementia-Translational Research &amp; Clinical Interventions</v>
      </c>
      <c r="C75" s="10">
        <v>4.9000000000000004</v>
      </c>
      <c r="D75" s="3" t="s">
        <v>4336</v>
      </c>
      <c r="E75" s="19">
        <v>6</v>
      </c>
      <c r="F75" s="20" t="s">
        <v>4335</v>
      </c>
      <c r="G75" s="7"/>
    </row>
    <row r="76" spans="1:7" ht="15.9" customHeight="1">
      <c r="A76" s="6">
        <v>72</v>
      </c>
      <c r="B76" s="3" t="str">
        <f>HYPERLINK("https://onlinelibrary.wiley.com/journal/17555949","CNS Neuroscience &amp; Therapeutics")</f>
        <v>CNS Neuroscience &amp; Therapeutics</v>
      </c>
      <c r="C76" s="10">
        <v>4.8</v>
      </c>
      <c r="D76" s="3" t="s">
        <v>779</v>
      </c>
      <c r="E76" s="19">
        <v>8</v>
      </c>
      <c r="F76" s="20" t="s">
        <v>4925</v>
      </c>
      <c r="G76" s="7"/>
    </row>
    <row r="77" spans="1:7" ht="15.9" customHeight="1">
      <c r="A77" s="6">
        <v>73</v>
      </c>
      <c r="B77" s="3" t="str">
        <f>HYPERLINK("https://link.springer.com/journal/11910","Current Neurology and Neuroscience Reports")</f>
        <v>Current Neurology and Neuroscience Reports</v>
      </c>
      <c r="C77" s="10">
        <v>4.8</v>
      </c>
      <c r="D77" s="3" t="s">
        <v>778</v>
      </c>
      <c r="E77" s="19">
        <v>8</v>
      </c>
      <c r="F77" s="20" t="s">
        <v>4925</v>
      </c>
      <c r="G77" s="7"/>
    </row>
    <row r="78" spans="1:7" ht="15.9" customHeight="1">
      <c r="A78" s="6">
        <v>74</v>
      </c>
      <c r="B78" s="3" t="str">
        <f>HYPERLINK("https://mental.jmir.org/","JMIR Mental Health")</f>
        <v>JMIR Mental Health</v>
      </c>
      <c r="C78" s="10">
        <v>4.8</v>
      </c>
      <c r="D78" s="3" t="s">
        <v>776</v>
      </c>
      <c r="E78" s="19">
        <v>4</v>
      </c>
      <c r="F78" s="20" t="s">
        <v>4925</v>
      </c>
      <c r="G78" s="7"/>
    </row>
    <row r="79" spans="1:7" ht="15.9" customHeight="1">
      <c r="A79" s="6">
        <v>75</v>
      </c>
      <c r="B79" s="3" t="str">
        <f>HYPERLINK("https://link.springer.com/journal/415","Journal of Neurology")</f>
        <v>Journal of Neurology</v>
      </c>
      <c r="C79" s="10">
        <v>4.8</v>
      </c>
      <c r="D79" s="3" t="s">
        <v>777</v>
      </c>
      <c r="E79" s="19">
        <v>8</v>
      </c>
      <c r="F79" s="20" t="s">
        <v>4925</v>
      </c>
      <c r="G79" s="7"/>
    </row>
    <row r="80" spans="1:7" ht="15.9" customHeight="1">
      <c r="A80" s="6">
        <v>76</v>
      </c>
      <c r="B80" s="3" t="str">
        <f>HYPERLINK("https://academic.oup.com/psychsocgerontology","Journals of Gerontology - Series B Psychological Sciences and Social Sciences")</f>
        <v>Journals of Gerontology - Series B Psychological Sciences and Social Sciences</v>
      </c>
      <c r="C80" s="10">
        <v>4.8</v>
      </c>
      <c r="D80" s="3" t="s">
        <v>4966</v>
      </c>
      <c r="E80" s="19">
        <v>5</v>
      </c>
      <c r="F80" s="20" t="s">
        <v>4925</v>
      </c>
      <c r="G80" s="7"/>
    </row>
    <row r="81" spans="1:7" ht="15.9" customHeight="1">
      <c r="A81" s="6">
        <v>77</v>
      </c>
      <c r="B81" s="3" t="str">
        <f>HYPERLINK("https://www.apa.org/pubs/journals/cps","Clinical Psychology: Science and Practice")</f>
        <v>Clinical Psychology: Science and Practice</v>
      </c>
      <c r="C81" s="10">
        <v>4.7</v>
      </c>
      <c r="D81" s="3" t="s">
        <v>780</v>
      </c>
      <c r="E81" s="19">
        <v>5</v>
      </c>
      <c r="F81" s="20" t="s">
        <v>4925</v>
      </c>
      <c r="G81" s="7"/>
    </row>
    <row r="82" spans="1:7" ht="15.9" customHeight="1">
      <c r="A82" s="6">
        <v>78</v>
      </c>
      <c r="B82" s="3" t="str">
        <f>HYPERLINK("https://www.sciencedirect.com/journal/developmental-cognitive-neuroscience","Developmental Cognitive Neuroscience")</f>
        <v>Developmental Cognitive Neuroscience</v>
      </c>
      <c r="C82" s="10">
        <v>4.5999999999999996</v>
      </c>
      <c r="D82" s="3" t="s">
        <v>783</v>
      </c>
      <c r="E82" s="19">
        <v>8</v>
      </c>
      <c r="F82" s="20" t="s">
        <v>4925</v>
      </c>
      <c r="G82" s="7"/>
    </row>
    <row r="83" spans="1:7" ht="15.9" customHeight="1">
      <c r="A83" s="6">
        <v>79</v>
      </c>
      <c r="B83" s="3" t="str">
        <f>HYPERLINK("https://www.tandfonline.com/journals/uqrp20","Qualitative Research in Psychology")</f>
        <v>Qualitative Research in Psychology</v>
      </c>
      <c r="C83" s="10">
        <v>4.5999999999999996</v>
      </c>
      <c r="D83" s="3" t="s">
        <v>782</v>
      </c>
      <c r="E83" s="19">
        <v>5</v>
      </c>
      <c r="F83" s="20" t="s">
        <v>4925</v>
      </c>
      <c r="G83" s="7"/>
    </row>
    <row r="84" spans="1:7" ht="15.9" customHeight="1">
      <c r="A84" s="6">
        <v>80</v>
      </c>
      <c r="B84" s="3" t="str">
        <f>HYPERLINK("https://onlinelibrary.wiley.com/journal/8604","Schizophrenia Research and Treatment")</f>
        <v>Schizophrenia Research and Treatment</v>
      </c>
      <c r="C84" s="10">
        <v>4.5999999999999996</v>
      </c>
      <c r="D84" s="3" t="s">
        <v>781</v>
      </c>
      <c r="E84" s="19">
        <v>1</v>
      </c>
      <c r="F84" s="20" t="s">
        <v>371</v>
      </c>
      <c r="G84" s="7"/>
    </row>
    <row r="85" spans="1:7" ht="15.9" customHeight="1">
      <c r="A85" s="6">
        <v>81</v>
      </c>
      <c r="B85" s="3" t="str">
        <f>HYPERLINK("https://academic.oup.com/gerontologist","The Gerontologist")</f>
        <v>The Gerontologist</v>
      </c>
      <c r="C85" s="10">
        <v>4.5999999999999996</v>
      </c>
      <c r="D85" s="3" t="s">
        <v>4967</v>
      </c>
      <c r="E85" s="19">
        <v>9</v>
      </c>
      <c r="F85" s="20" t="s">
        <v>4925</v>
      </c>
      <c r="G85" s="7"/>
    </row>
    <row r="86" spans="1:7" ht="15.9" customHeight="1">
      <c r="A86" s="6">
        <v>82</v>
      </c>
      <c r="B86" s="3" t="str">
        <f>HYPERLINK("https://onlinelibrary.wiley.com/journal/14681331","European Journal of Neurology")</f>
        <v>European Journal of Neurology</v>
      </c>
      <c r="C86" s="10">
        <v>4.5</v>
      </c>
      <c r="D86" s="3" t="s">
        <v>785</v>
      </c>
      <c r="E86" s="19">
        <v>8</v>
      </c>
      <c r="F86" s="20" t="s">
        <v>4925</v>
      </c>
      <c r="G86" s="7"/>
    </row>
    <row r="87" spans="1:7" ht="15.9" customHeight="1">
      <c r="A87" s="6">
        <v>83</v>
      </c>
      <c r="B87" s="3" t="str">
        <f>HYPERLINK("https://www.apa.org/pubs/journals/ccp","Journal of Consulting and Clinical Psychology")</f>
        <v>Journal of Consulting and Clinical Psychology</v>
      </c>
      <c r="C87" s="10">
        <v>4.5</v>
      </c>
      <c r="D87" s="3" t="s">
        <v>784</v>
      </c>
      <c r="E87" s="19">
        <v>5</v>
      </c>
      <c r="F87" s="20" t="s">
        <v>4925</v>
      </c>
      <c r="G87" s="7"/>
    </row>
    <row r="88" spans="1:7" ht="15.9" customHeight="1">
      <c r="A88" s="6">
        <v>84</v>
      </c>
      <c r="B88" s="3" t="str">
        <f>HYPERLINK("https://onlinelibrary.wiley.com/journal/23289503","Annals of Clinical and Translational Neurology")</f>
        <v>Annals of Clinical and Translational Neurology</v>
      </c>
      <c r="C88" s="10">
        <v>4.4000000000000004</v>
      </c>
      <c r="D88" s="3" t="s">
        <v>787</v>
      </c>
      <c r="E88" s="19">
        <v>8</v>
      </c>
      <c r="F88" s="20" t="s">
        <v>4925</v>
      </c>
      <c r="G88" s="7"/>
    </row>
    <row r="89" spans="1:7" ht="15.9" customHeight="1">
      <c r="A89" s="6">
        <v>85</v>
      </c>
      <c r="B89" s="3" t="str">
        <f>HYPERLINK("https://www.jneurosci.org/","Journal of Neuroscience")</f>
        <v>Journal of Neuroscience</v>
      </c>
      <c r="C89" s="10">
        <v>4.4000000000000004</v>
      </c>
      <c r="D89" s="3" t="s">
        <v>788</v>
      </c>
      <c r="E89" s="19">
        <v>8</v>
      </c>
      <c r="F89" s="20" t="s">
        <v>4925</v>
      </c>
      <c r="G89" s="7"/>
    </row>
    <row r="90" spans="1:7" ht="15.9" customHeight="1">
      <c r="A90" s="6">
        <v>86</v>
      </c>
      <c r="B90" s="3" t="str">
        <f>HYPERLINK("https://www.sciencedirect.com/journal/the-american-journal-of-geriatric-psychiatry","The American Journal of Geriatric Psychiatry")</f>
        <v>The American Journal of Geriatric Psychiatry</v>
      </c>
      <c r="C90" s="10">
        <v>4.4000000000000004</v>
      </c>
      <c r="D90" s="3" t="s">
        <v>786</v>
      </c>
      <c r="E90" s="19">
        <v>4</v>
      </c>
      <c r="F90" s="20" t="s">
        <v>4925</v>
      </c>
      <c r="G90" s="7"/>
    </row>
    <row r="91" spans="1:7" ht="15.9" customHeight="1">
      <c r="A91" s="6">
        <v>87</v>
      </c>
      <c r="B91" s="3" t="str">
        <f>HYPERLINK("https://www.sciencedirect.com/journal/comprehensive-psychiatry","Comprehensive Psychiatry")</f>
        <v>Comprehensive Psychiatry</v>
      </c>
      <c r="C91" s="10">
        <v>4.3</v>
      </c>
      <c r="D91" s="3" t="s">
        <v>789</v>
      </c>
      <c r="E91" s="19">
        <v>4</v>
      </c>
      <c r="F91" s="20" t="s">
        <v>4925</v>
      </c>
      <c r="G91" s="7"/>
    </row>
    <row r="92" spans="1:7" ht="15.9" customHeight="1">
      <c r="A92" s="6">
        <v>88</v>
      </c>
      <c r="B92" s="3" t="str">
        <f>HYPERLINK("https://agsjournals.onlinelibrary.wiley.com/journal/15325415","Journal of the American Geriatrics Society")</f>
        <v>Journal of the American Geriatrics Society</v>
      </c>
      <c r="C92" s="10">
        <v>4.3</v>
      </c>
      <c r="D92" s="3" t="s">
        <v>4346</v>
      </c>
      <c r="E92" s="19">
        <v>9</v>
      </c>
      <c r="F92" s="20" t="s">
        <v>4925</v>
      </c>
      <c r="G92" s="7"/>
    </row>
    <row r="93" spans="1:7" ht="15.9" customHeight="1">
      <c r="A93" s="6">
        <v>89</v>
      </c>
      <c r="B93" s="3" t="str">
        <f>HYPERLINK("https://academic.oup.com/biomedgerontology","Journals of Gerontology - Series A Biological Sciences and Medical Sciences")</f>
        <v>Journals of Gerontology - Series A Biological Sciences and Medical Sciences</v>
      </c>
      <c r="C93" s="10">
        <v>4.3</v>
      </c>
      <c r="D93" s="3" t="s">
        <v>4968</v>
      </c>
      <c r="E93" s="19">
        <v>9</v>
      </c>
      <c r="F93" s="20" t="s">
        <v>4925</v>
      </c>
      <c r="G93" s="7"/>
    </row>
    <row r="94" spans="1:7" ht="15.9" customHeight="1">
      <c r="A94" s="6">
        <v>90</v>
      </c>
      <c r="B94" s="3" t="str">
        <f>HYPERLINK("https://www.tandfonline.com/journals/hcap20","Journal of Clinical Child &amp; Adolescent Psychology")</f>
        <v>Journal of Clinical Child &amp; Adolescent Psychology</v>
      </c>
      <c r="C94" s="10">
        <v>4.2</v>
      </c>
      <c r="D94" s="3" t="s">
        <v>791</v>
      </c>
      <c r="E94" s="19">
        <v>5</v>
      </c>
      <c r="F94" s="20" t="s">
        <v>4925</v>
      </c>
      <c r="G94" s="7"/>
    </row>
    <row r="95" spans="1:7" ht="15.9" customHeight="1">
      <c r="A95" s="6">
        <v>91</v>
      </c>
      <c r="B95" s="3" t="str">
        <f>HYPERLINK("https://www.sciencedirect.com/journal/psychiatry-research","Psychiatry Research")</f>
        <v>Psychiatry Research</v>
      </c>
      <c r="C95" s="10">
        <v>4.2</v>
      </c>
      <c r="D95" s="3" t="s">
        <v>790</v>
      </c>
      <c r="E95" s="19">
        <v>4</v>
      </c>
      <c r="F95" s="20" t="s">
        <v>4925</v>
      </c>
      <c r="G95" s="7"/>
    </row>
    <row r="96" spans="1:7" ht="15.9" customHeight="1">
      <c r="A96" s="6">
        <v>92</v>
      </c>
      <c r="B96" s="3" t="str">
        <f>HYPERLINK("https://journals.lww.com/co-neurology/pages/default.aspx","Current Opinion in Neurology")</f>
        <v>Current Opinion in Neurology</v>
      </c>
      <c r="C96" s="10">
        <v>4.0999999999999996</v>
      </c>
      <c r="D96" s="3" t="s">
        <v>794</v>
      </c>
      <c r="E96" s="19">
        <v>8</v>
      </c>
      <c r="F96" s="20" t="s">
        <v>4925</v>
      </c>
      <c r="G96" s="7"/>
    </row>
    <row r="97" spans="1:7" ht="15.9" customHeight="1">
      <c r="A97" s="6">
        <v>93</v>
      </c>
      <c r="B97" s="3" t="str">
        <f>HYPERLINK("https://jneurodevdisorders.biomedcentral.com/","Journal of Neurodevelopmental Disorders")</f>
        <v>Journal of Neurodevelopmental Disorders</v>
      </c>
      <c r="C97" s="10">
        <v>4.0999999999999996</v>
      </c>
      <c r="D97" s="3" t="s">
        <v>792</v>
      </c>
      <c r="E97" s="19">
        <v>4</v>
      </c>
      <c r="F97" s="20" t="s">
        <v>4925</v>
      </c>
      <c r="G97" s="7"/>
    </row>
    <row r="98" spans="1:7" ht="15.9" customHeight="1">
      <c r="A98" s="6">
        <v>94</v>
      </c>
      <c r="B98" s="3" t="str">
        <f>HYPERLINK("https://www.jpn.ca/","Journal of Psychiatry &amp; Neuroscience")</f>
        <v>Journal of Psychiatry &amp; Neuroscience</v>
      </c>
      <c r="C98" s="10">
        <v>4.0999999999999996</v>
      </c>
      <c r="D98" s="3" t="s">
        <v>793</v>
      </c>
      <c r="E98" s="19">
        <v>4</v>
      </c>
      <c r="F98" s="20" t="s">
        <v>4925</v>
      </c>
      <c r="G98" s="7"/>
    </row>
    <row r="99" spans="1:7" ht="15.9" customHeight="1">
      <c r="A99" s="6">
        <v>95</v>
      </c>
      <c r="B99" s="3" t="str">
        <f>HYPERLINK("https://www.neurology.org/journal/nxg","Neurology: Genetics")</f>
        <v>Neurology: Genetics</v>
      </c>
      <c r="C99" s="10">
        <v>4.0999999999999996</v>
      </c>
      <c r="D99" s="3" t="s">
        <v>795</v>
      </c>
      <c r="E99" s="19">
        <v>8</v>
      </c>
      <c r="F99" s="20" t="s">
        <v>4925</v>
      </c>
      <c r="G99" s="7"/>
    </row>
    <row r="100" spans="1:7" ht="15.9" customHeight="1">
      <c r="A100" s="6">
        <v>96</v>
      </c>
      <c r="B100" s="3" t="str">
        <f>HYPERLINK("https://alz-journals.onlinelibrary.wiley.com/journal/23528729","Alzheimer's &amp; Dementia: Diagnosis, Assessment &amp; Disease Monitoring")</f>
        <v>Alzheimer's &amp; Dementia: Diagnosis, Assessment &amp; Disease Monitoring</v>
      </c>
      <c r="C100" s="10">
        <v>4</v>
      </c>
      <c r="D100" s="3" t="s">
        <v>4337</v>
      </c>
      <c r="E100" s="19">
        <v>6</v>
      </c>
      <c r="F100" s="20" t="s">
        <v>4335</v>
      </c>
      <c r="G100" s="7"/>
    </row>
    <row r="101" spans="1:7" ht="15.9" customHeight="1">
      <c r="A101" s="6">
        <v>97</v>
      </c>
      <c r="B101" s="3" t="str">
        <f>HYPERLINK("https://bpspsychub.onlinelibrary.wiley.com/journal/20448260","British Journal of Clinical Psychology")</f>
        <v>British Journal of Clinical Psychology</v>
      </c>
      <c r="C101" s="10">
        <v>3.984</v>
      </c>
      <c r="D101" s="3" t="s">
        <v>796</v>
      </c>
      <c r="E101" s="19">
        <v>5</v>
      </c>
      <c r="F101" s="20" t="s">
        <v>4925</v>
      </c>
      <c r="G101" s="7"/>
    </row>
    <row r="102" spans="1:7" ht="15.9" customHeight="1">
      <c r="A102" s="6">
        <v>98</v>
      </c>
      <c r="B102" s="3" t="str">
        <f>HYPERLINK("https://bpspsychub.onlinelibrary.wiley.com/journal/20448341","Psychology and Psychotherapy: Theory, Research and Practice")</f>
        <v>Psychology and Psychotherapy: Theory, Research and Practice</v>
      </c>
      <c r="C102" s="10">
        <v>3.9660000000000002</v>
      </c>
      <c r="D102" s="3" t="s">
        <v>797</v>
      </c>
      <c r="E102" s="19">
        <v>5</v>
      </c>
      <c r="F102" s="20" t="s">
        <v>4925</v>
      </c>
      <c r="G102" s="7"/>
    </row>
    <row r="103" spans="1:7" ht="15.9" customHeight="1">
      <c r="A103" s="6">
        <v>99</v>
      </c>
      <c r="B103" s="3" t="str">
        <f>HYPERLINK("https://www.cambridge.org/core/journals/global-mental-health/information/about-this-journal","Global Mental Health")</f>
        <v>Global Mental Health</v>
      </c>
      <c r="C103" s="10">
        <v>3.9</v>
      </c>
      <c r="D103" s="3" t="s">
        <v>799</v>
      </c>
      <c r="E103" s="19">
        <v>4</v>
      </c>
      <c r="F103" s="20" t="s">
        <v>4925</v>
      </c>
      <c r="G103" s="7"/>
    </row>
    <row r="104" spans="1:7" ht="15.9" customHeight="1">
      <c r="A104" s="6">
        <v>100</v>
      </c>
      <c r="B104" s="3" t="str">
        <f>HYPERLINK("https://link.springer.com/journal/40120","Neurology and Therapy")</f>
        <v>Neurology and Therapy</v>
      </c>
      <c r="C104" s="10">
        <v>3.9</v>
      </c>
      <c r="D104" s="3" t="s">
        <v>800</v>
      </c>
      <c r="E104" s="19">
        <v>8</v>
      </c>
      <c r="F104" s="20" t="s">
        <v>4925</v>
      </c>
      <c r="G104" s="7"/>
    </row>
    <row r="105" spans="1:7" ht="15.9" customHeight="1">
      <c r="A105" s="6">
        <v>101</v>
      </c>
      <c r="B105" s="3" t="str">
        <f>HYPERLINK("https://www.wjgnet.com/2220-3206","World Journal of Psychiatry")</f>
        <v>World Journal of Psychiatry</v>
      </c>
      <c r="C105" s="10">
        <v>3.9</v>
      </c>
      <c r="D105" s="3" t="s">
        <v>798</v>
      </c>
      <c r="E105" s="19">
        <v>4</v>
      </c>
      <c r="F105" s="20" t="s">
        <v>4925</v>
      </c>
      <c r="G105" s="7"/>
    </row>
    <row r="106" spans="1:7" ht="15.9" customHeight="1">
      <c r="A106" s="6">
        <v>102</v>
      </c>
      <c r="B106" s="3" t="str">
        <f>HYPERLINK("https://journals.lww.com/hrpjournal/pages/default.aspx","Harvard Review of Psychiatry")</f>
        <v>Harvard Review of Psychiatry</v>
      </c>
      <c r="C106" s="10">
        <v>3.8679999999999999</v>
      </c>
      <c r="D106" s="3" t="s">
        <v>801</v>
      </c>
      <c r="E106" s="19">
        <v>4</v>
      </c>
      <c r="F106" s="20" t="s">
        <v>4925</v>
      </c>
      <c r="G106" s="7"/>
    </row>
    <row r="107" spans="1:7" ht="15.9" customHeight="1">
      <c r="A107" s="6">
        <v>103</v>
      </c>
      <c r="B107" s="3" t="str">
        <f>HYPERLINK("https://onlinelibrary.wiley.com/journal/10991166","International Journal of Geriatric Psychiatry")</f>
        <v>International Journal of Geriatric Psychiatry</v>
      </c>
      <c r="C107" s="10">
        <v>3.85</v>
      </c>
      <c r="D107" s="3" t="s">
        <v>802</v>
      </c>
      <c r="E107" s="19">
        <v>4</v>
      </c>
      <c r="F107" s="20" t="s">
        <v>4925</v>
      </c>
      <c r="G107" s="7"/>
    </row>
    <row r="108" spans="1:7" ht="15.9" customHeight="1">
      <c r="A108" s="6">
        <v>104</v>
      </c>
      <c r="B108" s="3" t="str">
        <f>HYPERLINK("https://iaap-journals.onlinelibrary.wiley.com/journal/17580854","Applied Psychology-Health and Well Being")</f>
        <v>Applied Psychology-Health and Well Being</v>
      </c>
      <c r="C108" s="10">
        <v>3.8</v>
      </c>
      <c r="D108" s="3" t="s">
        <v>803</v>
      </c>
      <c r="E108" s="19">
        <v>5</v>
      </c>
      <c r="F108" s="20" t="s">
        <v>4925</v>
      </c>
      <c r="G108" s="7"/>
    </row>
    <row r="109" spans="1:7" ht="15.9" customHeight="1">
      <c r="A109" s="6">
        <v>105</v>
      </c>
      <c r="B109" s="3" t="str">
        <f>HYPERLINK("https://apa.org/pubs/journals/cou","Journal of Counseling Psychology")</f>
        <v>Journal of Counseling Psychology</v>
      </c>
      <c r="C109" s="10">
        <v>3.8</v>
      </c>
      <c r="D109" s="3" t="s">
        <v>804</v>
      </c>
      <c r="E109" s="19">
        <v>5</v>
      </c>
      <c r="F109" s="20" t="s">
        <v>4925</v>
      </c>
      <c r="G109" s="7"/>
    </row>
    <row r="110" spans="1:7" ht="15.9" customHeight="1">
      <c r="A110" s="6">
        <v>106</v>
      </c>
      <c r="B110" s="3" t="str">
        <f>HYPERLINK("https://link.springer.com/journal/10433","European Journal of Ageing")</f>
        <v>European Journal of Ageing</v>
      </c>
      <c r="C110" s="10">
        <v>3.7</v>
      </c>
      <c r="D110" s="3" t="s">
        <v>4969</v>
      </c>
      <c r="E110" s="19">
        <v>9</v>
      </c>
      <c r="F110" s="20" t="s">
        <v>4925</v>
      </c>
      <c r="G110" s="7"/>
    </row>
    <row r="111" spans="1:7" ht="15.9" customHeight="1">
      <c r="A111" s="6">
        <v>107</v>
      </c>
      <c r="B111" s="3" t="str">
        <f>HYPERLINK("https://eurapa.biomedcentral.com/about","European Review of Aging and Physical Activity")</f>
        <v>European Review of Aging and Physical Activity</v>
      </c>
      <c r="C111" s="10">
        <v>3.7</v>
      </c>
      <c r="D111" s="3" t="s">
        <v>4970</v>
      </c>
      <c r="E111" s="19">
        <v>9</v>
      </c>
      <c r="F111" s="20" t="s">
        <v>4925</v>
      </c>
      <c r="G111" s="7"/>
    </row>
    <row r="112" spans="1:7" ht="15.9" customHeight="1">
      <c r="A112" s="6">
        <v>108</v>
      </c>
      <c r="B112" s="3" t="str">
        <f>HYPERLINK("https://www.apa.org/pubs/journals/xge","Journal of Experimental Psychology: General")</f>
        <v>Journal of Experimental Psychology: General</v>
      </c>
      <c r="C112" s="10">
        <v>3.7</v>
      </c>
      <c r="D112" s="3" t="s">
        <v>805</v>
      </c>
      <c r="E112" s="19">
        <v>5</v>
      </c>
      <c r="F112" s="20" t="s">
        <v>4925</v>
      </c>
      <c r="G112" s="7"/>
    </row>
    <row r="113" spans="1:7" ht="15.9" customHeight="1">
      <c r="A113" s="6">
        <v>109</v>
      </c>
      <c r="B113" s="3" t="str">
        <f>HYPERLINK("https://www.sciencedirect.com/journal/neurobiology-of-aging","Neurobiology of Aging")</f>
        <v>Neurobiology of Aging</v>
      </c>
      <c r="C113" s="10">
        <v>3.7</v>
      </c>
      <c r="D113" s="3" t="s">
        <v>4971</v>
      </c>
      <c r="E113" s="19">
        <v>9</v>
      </c>
      <c r="F113" s="20" t="s">
        <v>4925</v>
      </c>
      <c r="G113" s="7"/>
    </row>
    <row r="114" spans="1:7" ht="15.9" customHeight="1">
      <c r="A114" s="6">
        <v>110</v>
      </c>
      <c r="B114" s="3" t="str">
        <f>HYPERLINK("https://www.apa.org/pubs/journals/pag","Psychology and Aging")</f>
        <v>Psychology and Aging</v>
      </c>
      <c r="C114" s="10">
        <v>3.7</v>
      </c>
      <c r="D114" s="3" t="s">
        <v>806</v>
      </c>
      <c r="E114" s="19">
        <v>5</v>
      </c>
      <c r="F114" s="20" t="s">
        <v>4925</v>
      </c>
      <c r="G114" s="7"/>
    </row>
    <row r="115" spans="1:7" ht="15.9" customHeight="1">
      <c r="A115" s="6">
        <v>111</v>
      </c>
      <c r="B115" s="3" t="str">
        <f>HYPERLINK("https://www.e-agmr.org/","Annals of Geriatric Medicine and Research")</f>
        <v>Annals of Geriatric Medicine and Research</v>
      </c>
      <c r="C115" s="10">
        <v>3.6</v>
      </c>
      <c r="D115" s="3" t="s">
        <v>4360</v>
      </c>
      <c r="E115" s="19">
        <v>9</v>
      </c>
      <c r="F115" s="20" t="s">
        <v>4925</v>
      </c>
      <c r="G115" s="7"/>
    </row>
    <row r="116" spans="1:7" ht="15.9" customHeight="1">
      <c r="A116" s="6">
        <v>112</v>
      </c>
      <c r="B116" s="3" t="str">
        <f>HYPERLINK("https://www.thieme.de/de/pharmacopsychiatry/journal-information-26553.htm","Pharmacopsychiatry")</f>
        <v>Pharmacopsychiatry</v>
      </c>
      <c r="C116" s="10">
        <v>3.6</v>
      </c>
      <c r="D116" s="3" t="s">
        <v>809</v>
      </c>
      <c r="E116" s="19">
        <v>4</v>
      </c>
      <c r="F116" s="20" t="s">
        <v>4925</v>
      </c>
      <c r="G116" s="7"/>
    </row>
    <row r="117" spans="1:7" ht="15.9" customHeight="1">
      <c r="A117" s="6">
        <v>113</v>
      </c>
      <c r="B117" s="3" t="str">
        <f>HYPERLINK("https://journals.sagepub.com/home/RGP","Review of General Psychology")</f>
        <v>Review of General Psychology</v>
      </c>
      <c r="C117" s="10">
        <v>3.6</v>
      </c>
      <c r="D117" s="3" t="s">
        <v>810</v>
      </c>
      <c r="E117" s="19">
        <v>5</v>
      </c>
      <c r="F117" s="20" t="s">
        <v>4925</v>
      </c>
      <c r="G117" s="7"/>
    </row>
    <row r="118" spans="1:7" ht="15.9" customHeight="1">
      <c r="A118" s="6">
        <v>114</v>
      </c>
      <c r="B118" s="3" t="str">
        <f>HYPERLINK("https://www.sciencedirect.com/journal/schizophrenia-research","Schizophrenia Research")</f>
        <v>Schizophrenia Research</v>
      </c>
      <c r="C118" s="10">
        <v>3.6</v>
      </c>
      <c r="D118" s="3" t="s">
        <v>807</v>
      </c>
      <c r="E118" s="19">
        <v>4</v>
      </c>
      <c r="F118" s="20" t="s">
        <v>4925</v>
      </c>
      <c r="G118" s="7"/>
    </row>
    <row r="119" spans="1:7" ht="15.9" customHeight="1">
      <c r="A119" s="6">
        <v>115</v>
      </c>
      <c r="B119" s="3" t="str">
        <f>HYPERLINK("https://link.springer.com/journal/127","Social Psychiatry and Psychiatric Epidemiology")</f>
        <v>Social Psychiatry and Psychiatric Epidemiology</v>
      </c>
      <c r="C119" s="10">
        <v>3.6</v>
      </c>
      <c r="D119" s="3" t="s">
        <v>808</v>
      </c>
      <c r="E119" s="19">
        <v>4</v>
      </c>
      <c r="F119" s="20" t="s">
        <v>4925</v>
      </c>
      <c r="G119" s="7"/>
    </row>
    <row r="120" spans="1:7" ht="15.9" customHeight="1">
      <c r="A120" s="6">
        <v>116</v>
      </c>
      <c r="B120" s="3" t="str">
        <f>HYPERLINK("https://www.sciencedirect.com/journal/archives-of-gerontology-and-geriatrics","Archives of Gerontology and Geriatrics")</f>
        <v>Archives of Gerontology and Geriatrics</v>
      </c>
      <c r="C120" s="10">
        <v>3.5</v>
      </c>
      <c r="D120" s="3" t="s">
        <v>4354</v>
      </c>
      <c r="E120" s="19">
        <v>9</v>
      </c>
      <c r="F120" s="20" t="s">
        <v>4925</v>
      </c>
      <c r="G120" s="7"/>
    </row>
    <row r="121" spans="1:7" ht="15.9" customHeight="1">
      <c r="A121" s="6">
        <v>117</v>
      </c>
      <c r="B121" s="3" t="str">
        <f>HYPERLINK("https://bpspsychub.onlinelibrary.wiley.com/journal/20448287","British Journal of Health Psychology")</f>
        <v>British Journal of Health Psychology</v>
      </c>
      <c r="C121" s="10">
        <v>3.5</v>
      </c>
      <c r="D121" s="3" t="s">
        <v>811</v>
      </c>
      <c r="E121" s="19">
        <v>5</v>
      </c>
      <c r="F121" s="20" t="s">
        <v>4925</v>
      </c>
      <c r="G121" s="7"/>
    </row>
    <row r="122" spans="1:7" ht="15.9" customHeight="1">
      <c r="A122" s="6">
        <v>118</v>
      </c>
      <c r="B122" s="3" t="str">
        <f>HYPERLINK("https://link.springer.com/journal/41999","European Geriatric Medicine")</f>
        <v>European Geriatric Medicine</v>
      </c>
      <c r="C122" s="10">
        <v>3.5</v>
      </c>
      <c r="D122" s="3" t="s">
        <v>4364</v>
      </c>
      <c r="E122" s="19">
        <v>9</v>
      </c>
      <c r="F122" s="20" t="s">
        <v>4925</v>
      </c>
      <c r="G122" s="7"/>
    </row>
    <row r="123" spans="1:7" ht="15.9" customHeight="1">
      <c r="A123" s="6">
        <v>119</v>
      </c>
      <c r="B123" s="3" t="str">
        <f>HYPERLINK("https://link.springer.com/journal/40520","Aging clinical and experimental research")</f>
        <v>Aging clinical and experimental research</v>
      </c>
      <c r="C123" s="10">
        <v>3.4</v>
      </c>
      <c r="D123" s="3" t="s">
        <v>4972</v>
      </c>
      <c r="E123" s="19">
        <v>9</v>
      </c>
      <c r="F123" s="20" t="s">
        <v>4925</v>
      </c>
      <c r="G123" s="7"/>
    </row>
    <row r="124" spans="1:7" ht="15.9" customHeight="1">
      <c r="A124" s="6">
        <v>120</v>
      </c>
      <c r="B124" s="3" t="str">
        <f>HYPERLINK("https://onlinelibrary.wiley.com/journal/15732770","American Journal of Community Psychology")</f>
        <v>American Journal of Community Psychology</v>
      </c>
      <c r="C124" s="10">
        <v>3.4</v>
      </c>
      <c r="D124" s="3" t="s">
        <v>814</v>
      </c>
      <c r="E124" s="19">
        <v>5</v>
      </c>
      <c r="F124" s="20" t="s">
        <v>4925</v>
      </c>
      <c r="G124" s="7"/>
    </row>
    <row r="125" spans="1:7" ht="15.9" customHeight="1">
      <c r="A125" s="6">
        <v>121</v>
      </c>
      <c r="B125" s="3" t="str">
        <f>HYPERLINK("https://bmcgeriatr.biomedcentral.com/","BMC Geriatrics")</f>
        <v>BMC Geriatrics</v>
      </c>
      <c r="C125" s="10">
        <v>3.4</v>
      </c>
      <c r="D125" s="3" t="s">
        <v>4355</v>
      </c>
      <c r="E125" s="19">
        <v>9</v>
      </c>
      <c r="F125" s="20" t="s">
        <v>4925</v>
      </c>
      <c r="G125" s="7"/>
    </row>
    <row r="126" spans="1:7" ht="15.9" customHeight="1">
      <c r="A126" s="6">
        <v>122</v>
      </c>
      <c r="B126" s="3" t="str">
        <f>HYPERLINK("https://bmcpsychiatry.biomedcentral.com/","BMC Psychiatry")</f>
        <v>BMC Psychiatry</v>
      </c>
      <c r="C126" s="10">
        <v>3.4</v>
      </c>
      <c r="D126" s="3" t="s">
        <v>813</v>
      </c>
      <c r="E126" s="19">
        <v>4</v>
      </c>
      <c r="F126" s="20" t="s">
        <v>4925</v>
      </c>
      <c r="G126" s="7"/>
    </row>
    <row r="127" spans="1:7" ht="15.9" customHeight="1">
      <c r="A127" s="6">
        <v>123</v>
      </c>
      <c r="B127" s="3" t="str">
        <f>HYPERLINK("https://capmh.biomedcentral.com/","Child and Adolescent Psychiatry and Mental Health")</f>
        <v>Child and Adolescent Psychiatry and Mental Health</v>
      </c>
      <c r="C127" s="10">
        <v>3.4</v>
      </c>
      <c r="D127" s="3" t="s">
        <v>812</v>
      </c>
      <c r="E127" s="19">
        <v>4</v>
      </c>
      <c r="F127" s="20" t="s">
        <v>4925</v>
      </c>
      <c r="G127" s="7"/>
    </row>
    <row r="128" spans="1:7" ht="15.9" customHeight="1">
      <c r="A128" s="6">
        <v>124</v>
      </c>
      <c r="B128" s="3" t="str">
        <f>HYPERLINK("https://link.springer.com/journal/40266","Drugs and Aging")</f>
        <v>Drugs and Aging</v>
      </c>
      <c r="C128" s="10">
        <v>3.4</v>
      </c>
      <c r="D128" s="3" t="s">
        <v>4973</v>
      </c>
      <c r="E128" s="19">
        <v>9</v>
      </c>
      <c r="F128" s="20" t="s">
        <v>4925</v>
      </c>
      <c r="G128" s="7"/>
    </row>
    <row r="129" spans="1:7" ht="15.9" customHeight="1">
      <c r="A129" s="6">
        <v>125</v>
      </c>
      <c r="B129" s="3" t="str">
        <f>HYPERLINK("https://www.j-alz.com/","Journal of Alzheimer’s Disease")</f>
        <v>Journal of Alzheimer’s Disease</v>
      </c>
      <c r="C129" s="10">
        <v>3.4</v>
      </c>
      <c r="D129" s="3" t="s">
        <v>4341</v>
      </c>
      <c r="E129" s="19">
        <v>6</v>
      </c>
      <c r="F129" s="20" t="s">
        <v>4335</v>
      </c>
      <c r="G129" s="7"/>
    </row>
    <row r="130" spans="1:7" ht="15.9" customHeight="1">
      <c r="A130" s="6">
        <v>126</v>
      </c>
      <c r="B130" s="3" t="str">
        <f>HYPERLINK("https://www.degruyter.com/journal/key/revneuro/html?lang=en","Reviews in the Neurosciences")</f>
        <v>Reviews in the Neurosciences</v>
      </c>
      <c r="C130" s="10">
        <v>3.4</v>
      </c>
      <c r="D130" s="3" t="s">
        <v>815</v>
      </c>
      <c r="E130" s="19">
        <v>8</v>
      </c>
      <c r="F130" s="20" t="s">
        <v>4925</v>
      </c>
      <c r="G130" s="7"/>
    </row>
    <row r="131" spans="1:7" ht="15.9" customHeight="1">
      <c r="A131" s="6">
        <v>127</v>
      </c>
      <c r="B131" s="3" t="str">
        <f>HYPERLINK("https://annals-general-psychiatry.biomedcentral.com/","Annals of General Psychiatry")</f>
        <v>Annals of General Psychiatry</v>
      </c>
      <c r="C131" s="10">
        <v>3.3010000000000002</v>
      </c>
      <c r="D131" s="3" t="s">
        <v>816</v>
      </c>
      <c r="E131" s="19">
        <v>4</v>
      </c>
      <c r="F131" s="20" t="s">
        <v>4925</v>
      </c>
      <c r="G131" s="7"/>
    </row>
    <row r="132" spans="1:7" ht="15.9" customHeight="1">
      <c r="A132" s="6">
        <v>128</v>
      </c>
      <c r="B132" s="3" t="str">
        <f>HYPERLINK("https://onlinelibrary.wiley.com/journal/1464066X","International Journal of Psychology")</f>
        <v>International Journal of Psychology</v>
      </c>
      <c r="C132" s="10">
        <v>3.3</v>
      </c>
      <c r="D132" s="3" t="s">
        <v>818</v>
      </c>
      <c r="E132" s="19">
        <v>5</v>
      </c>
      <c r="F132" s="20" t="s">
        <v>4925</v>
      </c>
      <c r="G132" s="7"/>
    </row>
    <row r="133" spans="1:7" ht="15.9" customHeight="1">
      <c r="A133" s="6">
        <v>129</v>
      </c>
      <c r="B133" s="3" t="str">
        <f>HYPERLINK("https://journals.sagepub.com/home/CPA","The Canadian Journal of Psychiatry-Revue Canadienne de Psychiatrie")</f>
        <v>The Canadian Journal of Psychiatry-Revue Canadienne de Psychiatrie</v>
      </c>
      <c r="C133" s="10">
        <v>3.3</v>
      </c>
      <c r="D133" s="3" t="s">
        <v>817</v>
      </c>
      <c r="E133" s="19">
        <v>4</v>
      </c>
      <c r="F133" s="20" t="s">
        <v>4925</v>
      </c>
      <c r="G133" s="7"/>
    </row>
    <row r="134" spans="1:7" ht="15.9" customHeight="1">
      <c r="A134" s="6">
        <v>130</v>
      </c>
      <c r="B134" s="3" t="str">
        <f>HYPERLINK("https://link.springer.com/journal/42415","The Journal of Frailty &amp; Aging")</f>
        <v>The Journal of Frailty &amp; Aging</v>
      </c>
      <c r="C134" s="10">
        <v>3.3</v>
      </c>
      <c r="D134" s="3" t="s">
        <v>4974</v>
      </c>
      <c r="E134" s="19">
        <v>9</v>
      </c>
      <c r="F134" s="20" t="s">
        <v>4925</v>
      </c>
      <c r="G134" s="7"/>
    </row>
    <row r="135" spans="1:7" ht="15.9" customHeight="1">
      <c r="A135" s="6">
        <v>131</v>
      </c>
      <c r="B135" s="3" t="str">
        <f>HYPERLINK("https://www.tandfonline.com/journals/iirp20","International Review of Psychiatry")</f>
        <v>International Review of Psychiatry</v>
      </c>
      <c r="C135" s="10">
        <v>3.2869999999999999</v>
      </c>
      <c r="D135" s="3" t="s">
        <v>819</v>
      </c>
      <c r="E135" s="19">
        <v>4</v>
      </c>
      <c r="F135" s="20" t="s">
        <v>4925</v>
      </c>
      <c r="G135" s="7"/>
    </row>
    <row r="136" spans="1:7" ht="15.9" customHeight="1">
      <c r="A136" s="6">
        <v>132</v>
      </c>
      <c r="B136" s="3" t="str">
        <f>HYPERLINK("https://link.springer.com/journal/737","Archives of Womens Mental Health")</f>
        <v>Archives of Womens Mental Health</v>
      </c>
      <c r="C136" s="10">
        <v>3.2</v>
      </c>
      <c r="D136" s="3" t="s">
        <v>821</v>
      </c>
      <c r="E136" s="19">
        <v>4</v>
      </c>
      <c r="F136" s="20" t="s">
        <v>4925</v>
      </c>
      <c r="G136" s="7"/>
    </row>
    <row r="137" spans="1:7" ht="15.9" customHeight="1">
      <c r="A137" s="6">
        <v>133</v>
      </c>
      <c r="B137" s="3" t="str">
        <f>HYPERLINK("https://www.sciencedirect.com/journal/autonomic-neuroscience","Autonomic Neuroscience")</f>
        <v>Autonomic Neuroscience</v>
      </c>
      <c r="C137" s="10">
        <v>3.2</v>
      </c>
      <c r="D137" s="3" t="s">
        <v>829</v>
      </c>
      <c r="E137" s="19">
        <v>8</v>
      </c>
      <c r="F137" s="20" t="s">
        <v>4925</v>
      </c>
      <c r="G137" s="7"/>
    </row>
    <row r="138" spans="1:7" ht="15.9" customHeight="1">
      <c r="A138" s="6">
        <v>134</v>
      </c>
      <c r="B138" s="3" t="str">
        <f>HYPERLINK("https://bpspsychub.onlinelibrary.wiley.com/journal/20448295","British Journal of Psychology")</f>
        <v>British Journal of Psychology</v>
      </c>
      <c r="C138" s="10">
        <v>3.2</v>
      </c>
      <c r="D138" s="3" t="s">
        <v>823</v>
      </c>
      <c r="E138" s="19">
        <v>5</v>
      </c>
      <c r="F138" s="20" t="s">
        <v>4925</v>
      </c>
      <c r="G138" s="7"/>
    </row>
    <row r="139" spans="1:7" ht="15.9" customHeight="1">
      <c r="A139" s="6">
        <v>135</v>
      </c>
      <c r="B139" s="3" t="str">
        <f>HYPERLINK("https://onlinelibrary.wiley.com/journal/10990879","Clinical Psychology &amp; Psychotherapy")</f>
        <v>Clinical Psychology &amp; Psychotherapy</v>
      </c>
      <c r="C139" s="10">
        <v>3.2</v>
      </c>
      <c r="D139" s="3" t="s">
        <v>822</v>
      </c>
      <c r="E139" s="19">
        <v>5</v>
      </c>
      <c r="F139" s="20" t="s">
        <v>4925</v>
      </c>
      <c r="G139" s="7"/>
    </row>
    <row r="140" spans="1:7" ht="15.9" customHeight="1">
      <c r="A140" s="6">
        <v>136</v>
      </c>
      <c r="B140" s="3" t="str">
        <f>HYPERLINK("https://www.frontiersin.org/journals/neuroscience","Frontiers in Neuroscience")</f>
        <v>Frontiers in Neuroscience</v>
      </c>
      <c r="C140" s="10">
        <v>3.2</v>
      </c>
      <c r="D140" s="3" t="s">
        <v>827</v>
      </c>
      <c r="E140" s="19">
        <v>8</v>
      </c>
      <c r="F140" s="20" t="s">
        <v>4925</v>
      </c>
      <c r="G140" s="7"/>
    </row>
    <row r="141" spans="1:7" ht="15.9" customHeight="1">
      <c r="A141" s="6">
        <v>137</v>
      </c>
      <c r="B141" s="3" t="str">
        <f>HYPERLINK("https://www.frontiersin.org/journals/psychiatry","Frontiers in Psychiatry")</f>
        <v>Frontiers in Psychiatry</v>
      </c>
      <c r="C141" s="10">
        <v>3.2</v>
      </c>
      <c r="D141" s="3" t="s">
        <v>820</v>
      </c>
      <c r="E141" s="19">
        <v>4</v>
      </c>
      <c r="F141" s="20" t="s">
        <v>4925</v>
      </c>
      <c r="G141" s="7"/>
    </row>
    <row r="142" spans="1:7" ht="15.9" customHeight="1">
      <c r="A142" s="6">
        <v>138</v>
      </c>
      <c r="B142" s="3" t="str">
        <f>HYPERLINK("https://direct.mit.edu/jocn","Journal of Cognitive Neuroscience")</f>
        <v>Journal of Cognitive Neuroscience</v>
      </c>
      <c r="C142" s="10">
        <v>3.2</v>
      </c>
      <c r="D142" s="3" t="s">
        <v>828</v>
      </c>
      <c r="E142" s="19">
        <v>8</v>
      </c>
      <c r="F142" s="20" t="s">
        <v>4925</v>
      </c>
      <c r="G142" s="7"/>
    </row>
    <row r="143" spans="1:7" ht="15.9" customHeight="1">
      <c r="A143" s="6">
        <v>139</v>
      </c>
      <c r="B143" s="3" t="str">
        <f>HYPERLINK("https://www.sciencedirect.com/journal/journal-of-experimental-social-psychology","Journal of Experimental Social Psychology")</f>
        <v>Journal of Experimental Social Psychology</v>
      </c>
      <c r="C143" s="10">
        <v>3.2</v>
      </c>
      <c r="D143" s="3" t="s">
        <v>824</v>
      </c>
      <c r="E143" s="19">
        <v>5</v>
      </c>
      <c r="F143" s="20" t="s">
        <v>4925</v>
      </c>
      <c r="G143" s="7"/>
    </row>
    <row r="144" spans="1:7" ht="15.9" customHeight="1">
      <c r="A144" s="6">
        <v>140</v>
      </c>
      <c r="B144" s="3" t="str">
        <f>HYPERLINK("https://academic.oup.com/jnen","Journal of Neuropathology &amp; Experimental Neurology")</f>
        <v>Journal of Neuropathology &amp; Experimental Neurology</v>
      </c>
      <c r="C144" s="10">
        <v>3.2</v>
      </c>
      <c r="D144" s="3" t="s">
        <v>826</v>
      </c>
      <c r="E144" s="19">
        <v>8</v>
      </c>
      <c r="F144" s="20" t="s">
        <v>4925</v>
      </c>
      <c r="G144" s="7"/>
    </row>
    <row r="145" spans="1:7" ht="15.9" customHeight="1">
      <c r="A145" s="6">
        <v>141</v>
      </c>
      <c r="B145" s="3" t="str">
        <f>HYPERLINK("https://www.mdpi.com/journal/neurolint","Neurology International")</f>
        <v>Neurology International</v>
      </c>
      <c r="C145" s="10">
        <v>3.2</v>
      </c>
      <c r="D145" s="3" t="s">
        <v>825</v>
      </c>
      <c r="E145" s="19">
        <v>8</v>
      </c>
      <c r="F145" s="20" t="s">
        <v>4925</v>
      </c>
      <c r="G145" s="7"/>
    </row>
    <row r="146" spans="1:7" ht="15.9" customHeight="1">
      <c r="A146" s="6">
        <v>142</v>
      </c>
      <c r="B146" s="3" t="str">
        <f>HYPERLINK("https://www.aimspress.com/journal/neuroscience","AIMS Neuroscience")</f>
        <v>AIMS Neuroscience</v>
      </c>
      <c r="C146" s="10">
        <v>3.1</v>
      </c>
      <c r="D146" s="3" t="s">
        <v>835</v>
      </c>
      <c r="E146" s="19">
        <v>8</v>
      </c>
      <c r="F146" s="20" t="s">
        <v>4925</v>
      </c>
      <c r="G146" s="7"/>
    </row>
    <row r="147" spans="1:7" ht="15.9" customHeight="1">
      <c r="A147" s="6">
        <v>143</v>
      </c>
      <c r="B147" s="3" t="str">
        <f>HYPERLINK("https://www.sciencedirect.com/journal/clinics-in-geriatric-medicine","Clinics in Geriatric Medicine")</f>
        <v>Clinics in Geriatric Medicine</v>
      </c>
      <c r="C147" s="10">
        <v>3.1</v>
      </c>
      <c r="D147" s="3" t="s">
        <v>4362</v>
      </c>
      <c r="E147" s="19">
        <v>9</v>
      </c>
      <c r="F147" s="20" t="s">
        <v>4925</v>
      </c>
      <c r="G147" s="7"/>
    </row>
    <row r="148" spans="1:7" ht="15.9" customHeight="1">
      <c r="A148" s="6">
        <v>144</v>
      </c>
      <c r="B148" s="3" t="str">
        <f>HYPERLINK("https://online.ucpress.edu/collabra","Collabra-Psychology")</f>
        <v>Collabra-Psychology</v>
      </c>
      <c r="C148" s="10">
        <v>3.1</v>
      </c>
      <c r="D148" s="3" t="s">
        <v>833</v>
      </c>
      <c r="E148" s="19">
        <v>5</v>
      </c>
      <c r="F148" s="20" t="s">
        <v>4925</v>
      </c>
      <c r="G148" s="7"/>
    </row>
    <row r="149" spans="1:7" ht="15.9" customHeight="1">
      <c r="A149" s="6">
        <v>145</v>
      </c>
      <c r="B149" s="3" t="str">
        <f>HYPERLINK("https://www.apa.org/pubs/journals/hea","Health Psychology")</f>
        <v>Health Psychology</v>
      </c>
      <c r="C149" s="10">
        <v>3.1</v>
      </c>
      <c r="D149" s="3" t="s">
        <v>832</v>
      </c>
      <c r="E149" s="19">
        <v>5</v>
      </c>
      <c r="F149" s="20" t="s">
        <v>4925</v>
      </c>
      <c r="G149" s="7"/>
    </row>
    <row r="150" spans="1:7" ht="15.9" customHeight="1">
      <c r="A150" s="6">
        <v>146</v>
      </c>
      <c r="B150" s="3" t="str">
        <f>HYPERLINK("https://ijmhs.biomedcentral.com/","International Journal of Mental Health Systems")</f>
        <v>International Journal of Mental Health Systems</v>
      </c>
      <c r="C150" s="10">
        <v>3.1</v>
      </c>
      <c r="D150" s="3" t="s">
        <v>830</v>
      </c>
      <c r="E150" s="19">
        <v>4</v>
      </c>
      <c r="F150" s="20" t="s">
        <v>4925</v>
      </c>
      <c r="G150" s="7"/>
    </row>
    <row r="151" spans="1:7" ht="15.9" customHeight="1">
      <c r="A151" s="6">
        <v>147</v>
      </c>
      <c r="B151" s="3" t="str">
        <f>HYPERLINK("https://www.apa.org/pubs/journals/abn/index","Journal of Psychopathology and Clinical Science")</f>
        <v>Journal of Psychopathology and Clinical Science</v>
      </c>
      <c r="C151" s="10">
        <v>3.1</v>
      </c>
      <c r="D151" s="3" t="s">
        <v>831</v>
      </c>
      <c r="E151" s="19">
        <v>5</v>
      </c>
      <c r="F151" s="20" t="s">
        <v>4925</v>
      </c>
      <c r="G151" s="7"/>
    </row>
    <row r="152" spans="1:7" ht="15.9" customHeight="1">
      <c r="A152" s="6">
        <v>148</v>
      </c>
      <c r="B152" s="3" t="str">
        <f>HYPERLINK("https://academic.oup.com/nc","Neuroscience of Consciousness")</f>
        <v>Neuroscience of Consciousness</v>
      </c>
      <c r="C152" s="10">
        <v>3.1</v>
      </c>
      <c r="D152" s="3" t="s">
        <v>834</v>
      </c>
      <c r="E152" s="19">
        <v>8</v>
      </c>
      <c r="F152" s="20" t="s">
        <v>4925</v>
      </c>
      <c r="G152" s="7"/>
    </row>
    <row r="153" spans="1:7" ht="15.9" customHeight="1">
      <c r="A153" s="6">
        <v>149</v>
      </c>
      <c r="B153" s="3" t="str">
        <f>HYPERLINK("https://www.sciencedirect.com/journal/journal-of-the-academy-of-consultation-liaison-psychiatry","Journal of the Academy of Consultation-Liaison Psychiatry")</f>
        <v>Journal of the Academy of Consultation-Liaison Psychiatry</v>
      </c>
      <c r="C153" s="10">
        <v>3.0990000000000002</v>
      </c>
      <c r="D153" s="3" t="s">
        <v>836</v>
      </c>
      <c r="E153" s="19">
        <v>4</v>
      </c>
      <c r="F153" s="20" t="s">
        <v>4925</v>
      </c>
      <c r="G153" s="7"/>
    </row>
    <row r="154" spans="1:7" ht="15.9" customHeight="1">
      <c r="A154" s="6">
        <v>150</v>
      </c>
      <c r="B154" s="3" t="str">
        <f>HYPERLINK("https://www.sciencedirect.com/journal/cognitive-psychology","Cognitive Psychology")</f>
        <v>Cognitive Psychology</v>
      </c>
      <c r="C154" s="10">
        <v>3</v>
      </c>
      <c r="D154" s="3" t="s">
        <v>840</v>
      </c>
      <c r="E154" s="19">
        <v>5</v>
      </c>
      <c r="F154" s="20" t="s">
        <v>4925</v>
      </c>
      <c r="G154" s="7"/>
    </row>
    <row r="155" spans="1:7" ht="15.9" customHeight="1">
      <c r="A155" s="6">
        <v>151</v>
      </c>
      <c r="B155" s="3" t="str">
        <f>HYPERLINK("https://ejop.psychopen.eu/index.php/ejop","Europes Journal of Psychology")</f>
        <v>Europes Journal of Psychology</v>
      </c>
      <c r="C155" s="10">
        <v>3</v>
      </c>
      <c r="D155" s="3" t="s">
        <v>839</v>
      </c>
      <c r="E155" s="19">
        <v>5</v>
      </c>
      <c r="F155" s="20" t="s">
        <v>4925</v>
      </c>
      <c r="G155" s="7"/>
    </row>
    <row r="156" spans="1:7" ht="15.9" customHeight="1">
      <c r="A156" s="6">
        <v>152</v>
      </c>
      <c r="B156" s="3" t="str">
        <f>HYPERLINK("https://journals.sagepub.com/home/smh","Society and Mental Health")</f>
        <v>Society and Mental Health</v>
      </c>
      <c r="C156" s="10">
        <v>3</v>
      </c>
      <c r="D156" s="3" t="s">
        <v>838</v>
      </c>
      <c r="E156" s="19">
        <v>4</v>
      </c>
      <c r="F156" s="20" t="s">
        <v>4925</v>
      </c>
      <c r="G156" s="7"/>
    </row>
    <row r="157" spans="1:7" ht="15.9" customHeight="1">
      <c r="A157" s="6">
        <v>153</v>
      </c>
      <c r="B157" s="3" t="str">
        <f>HYPERLINK("https://www.tandfonline.com/journals/iwbp20/about-this-journal#aims-and-scope","The World Journal of Biological Psychiatry")</f>
        <v>The World Journal of Biological Psychiatry</v>
      </c>
      <c r="C157" s="10">
        <v>3</v>
      </c>
      <c r="D157" s="3" t="s">
        <v>837</v>
      </c>
      <c r="E157" s="19">
        <v>4</v>
      </c>
      <c r="F157" s="20" t="s">
        <v>4925</v>
      </c>
      <c r="G157" s="7"/>
    </row>
    <row r="158" spans="1:7" ht="15.9" customHeight="1">
      <c r="A158" s="6">
        <v>154</v>
      </c>
      <c r="B158" s="3" t="str">
        <f>HYPERLINK("https://www.apa.org/pubs/journals/cap","Canadian Psychology / Psychologie canadienne")</f>
        <v>Canadian Psychology / Psychologie canadienne</v>
      </c>
      <c r="C158" s="10">
        <v>2.9</v>
      </c>
      <c r="D158" s="3" t="s">
        <v>842</v>
      </c>
      <c r="E158" s="19">
        <v>5</v>
      </c>
      <c r="F158" s="20" t="s">
        <v>4925</v>
      </c>
      <c r="G158" s="7"/>
    </row>
    <row r="159" spans="1:7" ht="15.9" customHeight="1">
      <c r="A159" s="6">
        <v>155</v>
      </c>
      <c r="B159" s="3" t="str">
        <f>HYPERLINK("https://www.tandfonline.com/journals/ijmh20","Journal of Mental Health")</f>
        <v>Journal of Mental Health</v>
      </c>
      <c r="C159" s="10">
        <v>2.9</v>
      </c>
      <c r="D159" s="3" t="s">
        <v>841</v>
      </c>
      <c r="E159" s="19">
        <v>4</v>
      </c>
      <c r="F159" s="20" t="s">
        <v>4925</v>
      </c>
      <c r="G159" s="7"/>
    </row>
    <row r="160" spans="1:7" ht="15.9" customHeight="1">
      <c r="A160" s="6">
        <v>156</v>
      </c>
      <c r="B160" s="3" t="str">
        <f>HYPERLINK("https://onlinelibrary.wiley.com/journal/10974547","Journal of Neuroscience Research")</f>
        <v>Journal of Neuroscience Research</v>
      </c>
      <c r="C160" s="10">
        <v>2.9</v>
      </c>
      <c r="D160" s="3" t="s">
        <v>844</v>
      </c>
      <c r="E160" s="19">
        <v>8</v>
      </c>
      <c r="F160" s="20" t="s">
        <v>4925</v>
      </c>
      <c r="G160" s="7"/>
    </row>
    <row r="161" spans="1:7" ht="15.9" customHeight="1">
      <c r="A161" s="6">
        <v>157</v>
      </c>
      <c r="B161" s="3" t="str">
        <f>HYPERLINK("https://www.sciencedirect.com/journal/neuroscience","Neuroscience")</f>
        <v>Neuroscience</v>
      </c>
      <c r="C161" s="10">
        <v>2.9</v>
      </c>
      <c r="D161" s="3" t="s">
        <v>845</v>
      </c>
      <c r="E161" s="19">
        <v>8</v>
      </c>
      <c r="F161" s="20" t="s">
        <v>4925</v>
      </c>
      <c r="G161" s="7"/>
    </row>
    <row r="162" spans="1:7" ht="15.9" customHeight="1">
      <c r="A162" s="6">
        <v>158</v>
      </c>
      <c r="B162" s="3" t="str">
        <f>HYPERLINK("https://journals.sagepub.com/home/exn","Neuroscience Insights")</f>
        <v>Neuroscience Insights</v>
      </c>
      <c r="C162" s="10">
        <v>2.9</v>
      </c>
      <c r="D162" s="3" t="s">
        <v>843</v>
      </c>
      <c r="E162" s="19">
        <v>8</v>
      </c>
      <c r="F162" s="20" t="s">
        <v>4925</v>
      </c>
      <c r="G162" s="7"/>
    </row>
    <row r="163" spans="1:7" ht="15.9" customHeight="1">
      <c r="A163" s="6">
        <v>159</v>
      </c>
      <c r="B163" s="3" t="str">
        <f>HYPERLINK("https://www.tandfonline.com/journals/camh20","Aging &amp; Mental Health")</f>
        <v>Aging &amp; Mental Health</v>
      </c>
      <c r="C163" s="10">
        <v>2.8</v>
      </c>
      <c r="D163" s="3" t="s">
        <v>846</v>
      </c>
      <c r="E163" s="19">
        <v>4</v>
      </c>
      <c r="F163" s="20" t="s">
        <v>4925</v>
      </c>
      <c r="G163" s="7"/>
    </row>
    <row r="164" spans="1:7" ht="15.9" customHeight="1">
      <c r="A164" s="6">
        <v>160</v>
      </c>
      <c r="B164" s="3" t="str">
        <f>HYPERLINK("https://www.tandfonline.com/journals/dprb20","Psychology Research and Behavior Management")</f>
        <v>Psychology Research and Behavior Management</v>
      </c>
      <c r="C164" s="10">
        <v>2.8</v>
      </c>
      <c r="D164" s="3" t="s">
        <v>847</v>
      </c>
      <c r="E164" s="19">
        <v>5</v>
      </c>
      <c r="F164" s="20" t="s">
        <v>4925</v>
      </c>
      <c r="G164" s="7"/>
    </row>
    <row r="165" spans="1:7" ht="15.9" customHeight="1">
      <c r="A165" s="6">
        <v>161</v>
      </c>
      <c r="B165" s="3" t="str">
        <f>HYPERLINK("https://journals.sagepub.com/home/jgp","Journal of Geriatric Psychiatry and Neurology")</f>
        <v>Journal of Geriatric Psychiatry and Neurology</v>
      </c>
      <c r="C165" s="10">
        <v>2.718</v>
      </c>
      <c r="D165" s="3" t="s">
        <v>848</v>
      </c>
      <c r="E165" s="19">
        <v>4</v>
      </c>
      <c r="F165" s="20" t="s">
        <v>4925</v>
      </c>
      <c r="G165" s="7"/>
    </row>
    <row r="166" spans="1:7" ht="15.9" customHeight="1">
      <c r="A166" s="6">
        <v>162</v>
      </c>
      <c r="B166" s="3" t="str">
        <f>HYPERLINK("https://journals.sagepub.com/home/aja","American Journal of Alzheimer's Disease and other Dementias")</f>
        <v>American Journal of Alzheimer's Disease and other Dementias</v>
      </c>
      <c r="C166" s="10">
        <v>2.7</v>
      </c>
      <c r="D166" s="3" t="s">
        <v>4343</v>
      </c>
      <c r="E166" s="19">
        <v>6</v>
      </c>
      <c r="F166" s="20" t="s">
        <v>4335</v>
      </c>
      <c r="G166" s="7"/>
    </row>
    <row r="167" spans="1:7" ht="15.9" customHeight="1">
      <c r="A167" s="6">
        <v>163</v>
      </c>
      <c r="B167" s="3" t="str">
        <f>HYPERLINK("https://onlinelibrary.wiley.com/journal/3037","Behavioural Neurology")</f>
        <v>Behavioural Neurology</v>
      </c>
      <c r="C167" s="10">
        <v>2.7</v>
      </c>
      <c r="D167" s="3" t="s">
        <v>855</v>
      </c>
      <c r="E167" s="19">
        <v>8</v>
      </c>
      <c r="F167" s="20" t="s">
        <v>4925</v>
      </c>
      <c r="G167" s="7"/>
    </row>
    <row r="168" spans="1:7" ht="15.9" customHeight="1">
      <c r="A168" s="6">
        <v>164</v>
      </c>
      <c r="B168" s="3" t="str">
        <f>HYPERLINK("https://www.sciencedirect.com/journal/biological-psychology","Biological Psychology")</f>
        <v>Biological Psychology</v>
      </c>
      <c r="C168" s="10">
        <v>2.7</v>
      </c>
      <c r="D168" s="3" t="s">
        <v>850</v>
      </c>
      <c r="E168" s="19">
        <v>5</v>
      </c>
      <c r="F168" s="20" t="s">
        <v>4925</v>
      </c>
      <c r="G168" s="7"/>
    </row>
    <row r="169" spans="1:7" ht="15.9" customHeight="1">
      <c r="A169" s="6">
        <v>165</v>
      </c>
      <c r="B169" s="3" t="str">
        <f>HYPERLINK("https://bmcpsychology.biomedcentral.com/","BMC Psychology")</f>
        <v>BMC Psychology</v>
      </c>
      <c r="C169" s="10">
        <v>2.7</v>
      </c>
      <c r="D169" s="3" t="s">
        <v>853</v>
      </c>
      <c r="E169" s="19">
        <v>5</v>
      </c>
      <c r="F169" s="20" t="s">
        <v>4925</v>
      </c>
      <c r="G169" s="7"/>
    </row>
    <row r="170" spans="1:7" ht="15.9" customHeight="1">
      <c r="A170" s="6">
        <v>166</v>
      </c>
      <c r="B170" s="3" t="str">
        <f>HYPERLINK("https://onlinelibrary.wiley.com/journal/14609568","European Journal of Neuroscience")</f>
        <v>European Journal of Neuroscience</v>
      </c>
      <c r="C170" s="10">
        <v>2.7</v>
      </c>
      <c r="D170" s="3" t="s">
        <v>856</v>
      </c>
      <c r="E170" s="19">
        <v>8</v>
      </c>
      <c r="F170" s="20" t="s">
        <v>4925</v>
      </c>
      <c r="G170" s="7"/>
    </row>
    <row r="171" spans="1:7" ht="15.9" customHeight="1">
      <c r="A171" s="6">
        <v>167</v>
      </c>
      <c r="B171" s="3" t="str">
        <f>HYPERLINK("https://www.frontiersin.org/journals/neurology","Frontiers in Neurology")</f>
        <v>Frontiers in Neurology</v>
      </c>
      <c r="C171" s="10">
        <v>2.7</v>
      </c>
      <c r="D171" s="3" t="s">
        <v>854</v>
      </c>
      <c r="E171" s="19">
        <v>8</v>
      </c>
      <c r="F171" s="20" t="s">
        <v>4925</v>
      </c>
      <c r="G171" s="7"/>
    </row>
    <row r="172" spans="1:7" ht="15.9" customHeight="1">
      <c r="A172" s="6">
        <v>168</v>
      </c>
      <c r="B172" s="3" t="str">
        <f>HYPERLINK("https://onlinelibrary.wiley.com/journal/10991298","Journal of Community &amp; Applied Social Psychology")</f>
        <v>Journal of Community &amp; Applied Social Psychology</v>
      </c>
      <c r="C172" s="10">
        <v>2.7</v>
      </c>
      <c r="D172" s="3" t="s">
        <v>851</v>
      </c>
      <c r="E172" s="19">
        <v>5</v>
      </c>
      <c r="F172" s="20" t="s">
        <v>4925</v>
      </c>
      <c r="G172" s="7"/>
    </row>
    <row r="173" spans="1:7" ht="15.9" customHeight="1">
      <c r="A173" s="6">
        <v>169</v>
      </c>
      <c r="B173" s="3" t="str">
        <f>HYPERLINK("https://www.apa.org/pubs/journals/xap","Journal of Experimental Psychology: Applied")</f>
        <v>Journal of Experimental Psychology: Applied</v>
      </c>
      <c r="C173" s="10">
        <v>2.7</v>
      </c>
      <c r="D173" s="3" t="s">
        <v>852</v>
      </c>
      <c r="E173" s="19">
        <v>5</v>
      </c>
      <c r="F173" s="20" t="s">
        <v>4925</v>
      </c>
      <c r="G173" s="7"/>
    </row>
    <row r="174" spans="1:7" ht="15.9" customHeight="1">
      <c r="A174" s="6">
        <v>170</v>
      </c>
      <c r="B174" s="3" t="str">
        <f>HYPERLINK("https://www.sciencedirect.com/journal/journal-of-neuroscience-methods","Journal of Neuroscience Methods")</f>
        <v>Journal of Neuroscience Methods</v>
      </c>
      <c r="C174" s="10">
        <v>2.7</v>
      </c>
      <c r="D174" s="3" t="s">
        <v>857</v>
      </c>
      <c r="E174" s="19">
        <v>8</v>
      </c>
      <c r="F174" s="20" t="s">
        <v>4925</v>
      </c>
      <c r="G174" s="7"/>
    </row>
    <row r="175" spans="1:7" ht="15.9" customHeight="1">
      <c r="A175" s="6">
        <v>171</v>
      </c>
      <c r="B175" s="3" t="str">
        <f>HYPERLINK("https://www.tandfonline.com/journals/upsy20","Psychiatry Interpersonal and Biological Processes")</f>
        <v>Psychiatry Interpersonal and Biological Processes</v>
      </c>
      <c r="C175" s="10">
        <v>2.7</v>
      </c>
      <c r="D175" s="3" t="s">
        <v>849</v>
      </c>
      <c r="E175" s="19">
        <v>4</v>
      </c>
      <c r="F175" s="20" t="s">
        <v>4925</v>
      </c>
      <c r="G175" s="7"/>
    </row>
    <row r="176" spans="1:7" ht="15.9" customHeight="1">
      <c r="A176" s="6">
        <v>172</v>
      </c>
      <c r="B176" s="3" t="str">
        <f>HYPERLINK("https://www.thieme-connect.com/products/ejournals/journal/10.1055/s-00000071","Seminars in Neurology")</f>
        <v>Seminars in Neurology</v>
      </c>
      <c r="C176" s="10">
        <v>2.7</v>
      </c>
      <c r="D176" s="3" t="s">
        <v>4998</v>
      </c>
      <c r="E176" s="19">
        <v>8</v>
      </c>
      <c r="F176" s="20" t="s">
        <v>4925</v>
      </c>
      <c r="G176" s="7"/>
    </row>
    <row r="177" spans="1:7" ht="15.9" customHeight="1">
      <c r="A177" s="6">
        <v>173</v>
      </c>
      <c r="B177" s="3" t="str">
        <f>HYPERLINK("https://www.tandfonline.com/journals/iacp20","Annals of Clinical Psychiatry")</f>
        <v>Annals of Clinical Psychiatry</v>
      </c>
      <c r="C177" s="10">
        <v>2.6909999999999998</v>
      </c>
      <c r="D177" s="3" t="s">
        <v>858</v>
      </c>
      <c r="E177" s="19">
        <v>4</v>
      </c>
      <c r="F177" s="20" t="s">
        <v>4925</v>
      </c>
      <c r="G177" s="7"/>
    </row>
    <row r="178" spans="1:7" ht="15.9" customHeight="1">
      <c r="A178" s="6">
        <v>174</v>
      </c>
      <c r="B178" s="3" t="str">
        <f>HYPERLINK("https://www.tandfonline.com/journals/wcli20","Clinical Gerontologist")</f>
        <v>Clinical Gerontologist</v>
      </c>
      <c r="C178" s="10">
        <v>2.6</v>
      </c>
      <c r="D178" s="3" t="s">
        <v>4975</v>
      </c>
      <c r="E178" s="19">
        <v>9</v>
      </c>
      <c r="F178" s="20" t="s">
        <v>4925</v>
      </c>
      <c r="G178" s="7"/>
    </row>
    <row r="179" spans="1:7" ht="15.9" customHeight="1">
      <c r="A179" s="6">
        <v>175</v>
      </c>
      <c r="B179" s="3" t="str">
        <f>HYPERLINK("https://www.tandfonline.com/journals/pcgn20","Cognitive Neuropsychology")</f>
        <v>Cognitive Neuropsychology</v>
      </c>
      <c r="C179" s="10">
        <v>2.6</v>
      </c>
      <c r="D179" s="3" t="s">
        <v>863</v>
      </c>
      <c r="E179" s="19">
        <v>5</v>
      </c>
      <c r="F179" s="20" t="s">
        <v>4925</v>
      </c>
      <c r="G179" s="7"/>
    </row>
    <row r="180" spans="1:7" ht="15.9" customHeight="1">
      <c r="A180" s="6">
        <v>176</v>
      </c>
      <c r="B180" s="3" t="str">
        <f>HYPERLINK("https://www.frontiersin.org/journals/behavioral-neuroscience","Frontiers in Behavioral Neuroscience")</f>
        <v>Frontiers in Behavioral Neuroscience</v>
      </c>
      <c r="C180" s="10">
        <v>2.6</v>
      </c>
      <c r="D180" s="3" t="s">
        <v>865</v>
      </c>
      <c r="E180" s="19">
        <v>8</v>
      </c>
      <c r="F180" s="20" t="s">
        <v>4925</v>
      </c>
      <c r="G180" s="7"/>
    </row>
    <row r="181" spans="1:7" ht="15.9" customHeight="1">
      <c r="A181" s="6">
        <v>177</v>
      </c>
      <c r="B181" s="3" t="str">
        <f>HYPERLINK("https://www.frontiersin.org/journals/integrative-neuroscience","Frontiers in Integrative Neuroscience")</f>
        <v>Frontiers in Integrative Neuroscience</v>
      </c>
      <c r="C181" s="10">
        <v>2.6</v>
      </c>
      <c r="D181" s="3" t="s">
        <v>866</v>
      </c>
      <c r="E181" s="19">
        <v>8</v>
      </c>
      <c r="F181" s="20" t="s">
        <v>4925</v>
      </c>
      <c r="G181" s="7"/>
    </row>
    <row r="182" spans="1:7" ht="15.9" customHeight="1">
      <c r="A182" s="6">
        <v>178</v>
      </c>
      <c r="B182" s="3" t="str">
        <f>HYPERLINK("https://www.frontiersin.org/journals/psychology","Frontiers in Psychology")</f>
        <v>Frontiers in Psychology</v>
      </c>
      <c r="C182" s="10">
        <v>2.6</v>
      </c>
      <c r="D182" s="3" t="s">
        <v>862</v>
      </c>
      <c r="E182" s="19">
        <v>5</v>
      </c>
      <c r="F182" s="20" t="s">
        <v>4925</v>
      </c>
      <c r="G182" s="7"/>
    </row>
    <row r="183" spans="1:7" ht="15.9" customHeight="1">
      <c r="A183" s="6">
        <v>179</v>
      </c>
      <c r="B183" s="3" t="str">
        <f>HYPERLINK("https://www.fortunejournals.com/journal-of-psychiatry-and-psychiatric-disorders-aimsscope-jppd.php","Journal of Psychiatry and Psychiatric Disorders")</f>
        <v>Journal of Psychiatry and Psychiatric Disorders</v>
      </c>
      <c r="C183" s="10">
        <v>2.6</v>
      </c>
      <c r="D183" s="3" t="s">
        <v>867</v>
      </c>
      <c r="E183" s="19">
        <v>3</v>
      </c>
      <c r="F183" s="20" t="s">
        <v>4325</v>
      </c>
      <c r="G183" s="7"/>
    </row>
    <row r="184" spans="1:7" ht="15.9" customHeight="1">
      <c r="A184" s="6">
        <v>180</v>
      </c>
      <c r="B184" s="3" t="str">
        <f>HYPERLINK("https://www.apa.org/pubs/journals/neu","Neuropsychology")</f>
        <v>Neuropsychology</v>
      </c>
      <c r="C184" s="10">
        <v>2.6</v>
      </c>
      <c r="D184" s="3" t="s">
        <v>864</v>
      </c>
      <c r="E184" s="19">
        <v>5</v>
      </c>
      <c r="F184" s="20" t="s">
        <v>4925</v>
      </c>
      <c r="G184" s="7"/>
    </row>
    <row r="185" spans="1:7" ht="15.9" customHeight="1">
      <c r="A185" s="6">
        <v>181</v>
      </c>
      <c r="B185" s="3" t="str">
        <f>HYPERLINK("https://www.press.jhu.edu/journals/philosophy-psychiatry-psychology","Philosophy Psychiatry &amp; Psychology")</f>
        <v>Philosophy Psychiatry &amp; Psychology</v>
      </c>
      <c r="C185" s="10">
        <v>2.6</v>
      </c>
      <c r="D185" s="3" t="s">
        <v>859</v>
      </c>
      <c r="E185" s="19">
        <v>4</v>
      </c>
      <c r="F185" s="20" t="s">
        <v>4925</v>
      </c>
      <c r="G185" s="7"/>
    </row>
    <row r="186" spans="1:7" ht="15.9" customHeight="1">
      <c r="A186" s="6">
        <v>182</v>
      </c>
      <c r="B186" s="3" t="str">
        <f>HYPERLINK("https://www.apa.org/pubs/journals/pst","Psychotherapy")</f>
        <v>Psychotherapy</v>
      </c>
      <c r="C186" s="10">
        <v>2.6</v>
      </c>
      <c r="D186" s="3" t="s">
        <v>861</v>
      </c>
      <c r="E186" s="19">
        <v>5</v>
      </c>
      <c r="F186" s="20" t="s">
        <v>4925</v>
      </c>
      <c r="G186" s="7"/>
    </row>
    <row r="187" spans="1:7" ht="15.9" customHeight="1">
      <c r="A187" s="6">
        <v>183</v>
      </c>
      <c r="B187" s="3" t="str">
        <f>HYPERLINK("https://www.tandfonline.com/journals/tpsr20","Psychotherapy Research")</f>
        <v>Psychotherapy Research</v>
      </c>
      <c r="C187" s="10">
        <v>2.6</v>
      </c>
      <c r="D187" s="3" t="s">
        <v>860</v>
      </c>
      <c r="E187" s="19">
        <v>5</v>
      </c>
      <c r="F187" s="20" t="s">
        <v>4925</v>
      </c>
      <c r="G187" s="7"/>
    </row>
    <row r="188" spans="1:7" ht="15.9" customHeight="1">
      <c r="A188" s="6">
        <v>184</v>
      </c>
      <c r="B188" s="3" t="str">
        <f>HYPERLINK("https://www.sciencedirect.com/journal/geriatric-nursing","Geriatric Nursing")</f>
        <v>Geriatric Nursing</v>
      </c>
      <c r="C188" s="10">
        <v>2.5249999999999999</v>
      </c>
      <c r="D188" s="3" t="s">
        <v>4366</v>
      </c>
      <c r="E188" s="19">
        <v>9</v>
      </c>
      <c r="F188" s="20" t="s">
        <v>4925</v>
      </c>
      <c r="G188" s="7"/>
    </row>
    <row r="189" spans="1:7" ht="15.9" customHeight="1">
      <c r="A189" s="6">
        <v>185</v>
      </c>
      <c r="B189" s="3" t="str">
        <f>HYPERLINK("https://link.springer.com/journal/13415","Cognitive, Affective, &amp; Behavioral Neuroscience")</f>
        <v>Cognitive, Affective, &amp; Behavioral Neuroscience</v>
      </c>
      <c r="C189" s="10">
        <v>2.5</v>
      </c>
      <c r="D189" s="3" t="s">
        <v>873</v>
      </c>
      <c r="E189" s="19">
        <v>8</v>
      </c>
      <c r="F189" s="20" t="s">
        <v>4925</v>
      </c>
      <c r="G189" s="7"/>
    </row>
    <row r="190" spans="1:7" ht="15.9" customHeight="1">
      <c r="A190" s="6">
        <v>186</v>
      </c>
      <c r="B190" s="3" t="str">
        <f>HYPERLINK("https://link.springer.com/journal/12144","Current Psychology")</f>
        <v>Current Psychology</v>
      </c>
      <c r="C190" s="10">
        <v>2.5</v>
      </c>
      <c r="D190" s="3" t="s">
        <v>872</v>
      </c>
      <c r="E190" s="19">
        <v>5</v>
      </c>
      <c r="F190" s="20" t="s">
        <v>4925</v>
      </c>
      <c r="G190" s="7"/>
    </row>
    <row r="191" spans="1:7" ht="15.9" customHeight="1">
      <c r="A191" s="6">
        <v>187</v>
      </c>
      <c r="B191" s="3" t="str">
        <f>HYPERLINK("https://onlinelibrary.wiley.com/journal/10974679","Journal of Clinical Psychology")</f>
        <v>Journal of Clinical Psychology</v>
      </c>
      <c r="C191" s="10">
        <v>2.5</v>
      </c>
      <c r="D191" s="3" t="s">
        <v>870</v>
      </c>
      <c r="E191" s="19">
        <v>5</v>
      </c>
      <c r="F191" s="20" t="s">
        <v>4925</v>
      </c>
      <c r="G191" s="7"/>
    </row>
    <row r="192" spans="1:7" ht="15.9" customHeight="1">
      <c r="A192" s="6">
        <v>188</v>
      </c>
      <c r="B192" s="3" t="str">
        <f>HYPERLINK("https://journals.sagepub.com/home/hpq","Journal of Health Psychology")</f>
        <v>Journal of Health Psychology</v>
      </c>
      <c r="C192" s="10">
        <v>2.5</v>
      </c>
      <c r="D192" s="3" t="s">
        <v>869</v>
      </c>
      <c r="E192" s="19">
        <v>5</v>
      </c>
      <c r="F192" s="20" t="s">
        <v>4925</v>
      </c>
      <c r="G192" s="7"/>
    </row>
    <row r="193" spans="1:7" ht="15.9" customHeight="1">
      <c r="A193" s="6">
        <v>189</v>
      </c>
      <c r="B193" s="3" t="str">
        <f>HYPERLINK("https://www.imrpress.com/journal/JIN","Journal of Integrative Neuroscience")</f>
        <v>Journal of Integrative Neuroscience</v>
      </c>
      <c r="C193" s="10">
        <v>2.5</v>
      </c>
      <c r="D193" s="3" t="s">
        <v>874</v>
      </c>
      <c r="E193" s="19">
        <v>8</v>
      </c>
      <c r="F193" s="20" t="s">
        <v>4925</v>
      </c>
      <c r="G193" s="7"/>
    </row>
    <row r="194" spans="1:7" ht="15.9" customHeight="1">
      <c r="A194" s="6">
        <v>190</v>
      </c>
      <c r="B194" s="3" t="str">
        <f>HYPERLINK("https://www.sciencedirect.com/journal/the-european-journal-of-psychiatry","The European Journal of Psychiatry")</f>
        <v>The European Journal of Psychiatry</v>
      </c>
      <c r="C194" s="10">
        <v>2.5</v>
      </c>
      <c r="D194" s="3" t="s">
        <v>868</v>
      </c>
      <c r="E194" s="19">
        <v>4</v>
      </c>
      <c r="F194" s="20" t="s">
        <v>4925</v>
      </c>
      <c r="G194" s="7"/>
    </row>
    <row r="195" spans="1:7" ht="15.9" customHeight="1">
      <c r="A195" s="6">
        <v>191</v>
      </c>
      <c r="B195" s="3" t="str">
        <f>HYPERLINK("https://journals.sagepub.com/home/jbp","The Journal of Black Psychology")</f>
        <v>The Journal of Black Psychology</v>
      </c>
      <c r="C195" s="10">
        <v>2.5</v>
      </c>
      <c r="D195" s="3" t="s">
        <v>871</v>
      </c>
      <c r="E195" s="19">
        <v>5</v>
      </c>
      <c r="F195" s="20" t="s">
        <v>4925</v>
      </c>
      <c r="G195" s="7"/>
    </row>
    <row r="196" spans="1:7" ht="15.9" customHeight="1">
      <c r="A196" s="6">
        <v>192</v>
      </c>
      <c r="B196" s="3" t="str">
        <f>HYPERLINK("https://bmcneurosci.biomedcentral.com/","BMC Neuroscience")</f>
        <v>BMC Neuroscience</v>
      </c>
      <c r="C196" s="10">
        <v>2.4</v>
      </c>
      <c r="D196" s="3" t="s">
        <v>880</v>
      </c>
      <c r="E196" s="19">
        <v>8</v>
      </c>
      <c r="F196" s="20" t="s">
        <v>4925</v>
      </c>
      <c r="G196" s="7"/>
    </row>
    <row r="197" spans="1:7" ht="15.9" customHeight="1">
      <c r="A197" s="6">
        <v>193</v>
      </c>
      <c r="B197" s="3" t="str">
        <f>HYPERLINK("https://www.frontiersin.org/journals/human-neuroscience","Frontiers in Human Neuroscience")</f>
        <v>Frontiers in Human Neuroscience</v>
      </c>
      <c r="C197" s="10">
        <v>2.4</v>
      </c>
      <c r="D197" s="3" t="s">
        <v>879</v>
      </c>
      <c r="E197" s="19">
        <v>8</v>
      </c>
      <c r="F197" s="20" t="s">
        <v>4925</v>
      </c>
      <c r="G197" s="7"/>
    </row>
    <row r="198" spans="1:7" ht="15.9" customHeight="1">
      <c r="A198" s="6">
        <v>194</v>
      </c>
      <c r="B198" s="3" t="str">
        <f>HYPERLINK("https://www.mdpi.com/journal/geriatrics/about","Geriatrics")</f>
        <v>Geriatrics</v>
      </c>
      <c r="C198" s="10">
        <v>2.4</v>
      </c>
      <c r="D198" s="3" t="s">
        <v>4353</v>
      </c>
      <c r="E198" s="19">
        <v>9</v>
      </c>
      <c r="F198" s="20" t="s">
        <v>4925</v>
      </c>
      <c r="G198" s="7"/>
    </row>
    <row r="199" spans="1:7" ht="15.9" customHeight="1">
      <c r="A199" s="6">
        <v>195</v>
      </c>
      <c r="B199" s="3" t="str">
        <f>HYPERLINK("https://onlinelibrary.wiley.com/journal/14470594","Geriatrics &amp; Gerontology International")</f>
        <v>Geriatrics &amp; Gerontology International</v>
      </c>
      <c r="C199" s="10">
        <v>2.4</v>
      </c>
      <c r="D199" s="3" t="s">
        <v>4356</v>
      </c>
      <c r="E199" s="19">
        <v>9</v>
      </c>
      <c r="F199" s="20" t="s">
        <v>4925</v>
      </c>
      <c r="G199" s="7"/>
    </row>
    <row r="200" spans="1:7" ht="15.9" customHeight="1">
      <c r="A200" s="6">
        <v>196</v>
      </c>
      <c r="B200" s="3" t="str">
        <f>HYPERLINK("https://www.tandfonline.com/journals/rhpb20","Health Psychology and Behavioral Medicine")</f>
        <v>Health Psychology and Behavioral Medicine</v>
      </c>
      <c r="C200" s="10">
        <v>2.4</v>
      </c>
      <c r="D200" s="3" t="s">
        <v>876</v>
      </c>
      <c r="E200" s="19">
        <v>5</v>
      </c>
      <c r="F200" s="20" t="s">
        <v>4925</v>
      </c>
      <c r="G200" s="7"/>
    </row>
    <row r="201" spans="1:7" ht="15.9" customHeight="1">
      <c r="A201" s="6">
        <v>197</v>
      </c>
      <c r="B201" s="3" t="str">
        <f>HYPERLINK("https://www.sciencedirect.com/journal/neuroscience-research","Neuroscience Research")</f>
        <v>Neuroscience Research</v>
      </c>
      <c r="C201" s="10">
        <v>2.4</v>
      </c>
      <c r="D201" s="3" t="s">
        <v>881</v>
      </c>
      <c r="E201" s="19">
        <v>8</v>
      </c>
      <c r="F201" s="20" t="s">
        <v>4925</v>
      </c>
      <c r="G201" s="7"/>
    </row>
    <row r="202" spans="1:7" ht="15.9" customHeight="1">
      <c r="A202" s="6">
        <v>198</v>
      </c>
      <c r="B202" s="3" t="str">
        <f>HYPERLINK("https://pn.bmj.com/","Practical Neurology")</f>
        <v>Practical Neurology</v>
      </c>
      <c r="C202" s="10">
        <v>2.4</v>
      </c>
      <c r="D202" s="3" t="s">
        <v>878</v>
      </c>
      <c r="E202" s="19">
        <v>8</v>
      </c>
      <c r="F202" s="20" t="s">
        <v>4925</v>
      </c>
      <c r="G202" s="7"/>
    </row>
    <row r="203" spans="1:7" ht="15.9" customHeight="1">
      <c r="A203" s="6">
        <v>199</v>
      </c>
      <c r="B203" s="3" t="str">
        <f>HYPERLINK("https://www.tandfonline.com/journals/gpsh20","Psychology &amp; Health")</f>
        <v>Psychology &amp; Health</v>
      </c>
      <c r="C203" s="10">
        <v>2.4</v>
      </c>
      <c r="D203" s="3" t="s">
        <v>877</v>
      </c>
      <c r="E203" s="19">
        <v>5</v>
      </c>
      <c r="F203" s="20" t="s">
        <v>4925</v>
      </c>
      <c r="G203" s="7"/>
    </row>
    <row r="204" spans="1:7" ht="15.9" customHeight="1">
      <c r="A204" s="6">
        <v>200</v>
      </c>
      <c r="B204" s="3" t="str">
        <f>HYPERLINK("https://www.appi.org/Journal_of_Neuropsychiatry_and_Clinical_Neurosciences","The Journal of Neuropsychiatry and Clinical Neurosciences")</f>
        <v>The Journal of Neuropsychiatry and Clinical Neurosciences</v>
      </c>
      <c r="C204" s="10">
        <v>2.4</v>
      </c>
      <c r="D204" s="3" t="s">
        <v>875</v>
      </c>
      <c r="E204" s="19">
        <v>3</v>
      </c>
      <c r="F204" s="20" t="s">
        <v>4325</v>
      </c>
      <c r="G204" s="7"/>
    </row>
    <row r="205" spans="1:7" ht="15.9" customHeight="1">
      <c r="A205" s="6">
        <v>201</v>
      </c>
      <c r="B205" s="3" t="str">
        <f>HYPERLINK("https://journals.lww.com/alzheimerjournal/pages/default.aspx","​Alzheimer Disease &amp; Associated Disorders")</f>
        <v>​Alzheimer Disease &amp; Associated Disorders</v>
      </c>
      <c r="C205" s="10">
        <v>2.3570000000000002</v>
      </c>
      <c r="D205" s="3" t="s">
        <v>4344</v>
      </c>
      <c r="E205" s="19">
        <v>6</v>
      </c>
      <c r="F205" s="20" t="s">
        <v>4335</v>
      </c>
      <c r="G205" s="7"/>
    </row>
    <row r="206" spans="1:7" ht="15.9" customHeight="1">
      <c r="A206" s="6">
        <v>202</v>
      </c>
      <c r="B206" s="3" t="str">
        <f>HYPERLINK("https://cab.unime.it/journals/index.php/MJCP/index","Mediterranean Journal of Clinical Psychology")</f>
        <v>Mediterranean Journal of Clinical Psychology</v>
      </c>
      <c r="C206" s="10">
        <v>2.31</v>
      </c>
      <c r="D206" s="3" t="s">
        <v>882</v>
      </c>
      <c r="E206" s="19">
        <v>5</v>
      </c>
      <c r="F206" s="20" t="s">
        <v>4925</v>
      </c>
      <c r="G206" s="7"/>
    </row>
    <row r="207" spans="1:7" ht="15.9" customHeight="1">
      <c r="A207" s="6">
        <v>203</v>
      </c>
      <c r="B207" s="3" t="str">
        <f>HYPERLINK("https://www.cambridge.org/core/journals/ageing-and-society","Ageing and Society")</f>
        <v>Ageing and Society</v>
      </c>
      <c r="C207" s="10">
        <v>2.2999999999999998</v>
      </c>
      <c r="D207" s="3" t="s">
        <v>4976</v>
      </c>
      <c r="E207" s="19">
        <v>9</v>
      </c>
      <c r="F207" s="20" t="s">
        <v>4925</v>
      </c>
      <c r="G207" s="7"/>
    </row>
    <row r="208" spans="1:7" ht="15.9" customHeight="1">
      <c r="A208" s="6">
        <v>204</v>
      </c>
      <c r="B208" s="3" t="str">
        <f>HYPERLINK("https://psychiatryonline.org/journal/apt","American Journal of Psychotherapy")</f>
        <v>American Journal of Psychotherapy</v>
      </c>
      <c r="C208" s="10">
        <v>2.2999999999999998</v>
      </c>
      <c r="D208" s="3" t="s">
        <v>885</v>
      </c>
      <c r="E208" s="19">
        <v>5</v>
      </c>
      <c r="F208" s="20" t="s">
        <v>4925</v>
      </c>
      <c r="G208" s="7"/>
    </row>
    <row r="209" spans="1:7" ht="15.9" customHeight="1">
      <c r="A209" s="6">
        <v>205</v>
      </c>
      <c r="B209" s="3" t="str">
        <f>HYPERLINK("https://karger.com/dne","Developmental Neuroscience")</f>
        <v>Developmental Neuroscience</v>
      </c>
      <c r="C209" s="10">
        <v>2.2999999999999998</v>
      </c>
      <c r="D209" s="3" t="s">
        <v>891</v>
      </c>
      <c r="E209" s="19">
        <v>8</v>
      </c>
      <c r="F209" s="20" t="s">
        <v>4925</v>
      </c>
      <c r="G209" s="7"/>
    </row>
    <row r="210" spans="1:7" ht="15.9" customHeight="1">
      <c r="A210" s="6">
        <v>206</v>
      </c>
      <c r="B210" s="3" t="str">
        <f>HYPERLINK("https://onlinelibrary.wiley.com/journal/10969861","Journal of Comparative Neurology")</f>
        <v>Journal of Comparative Neurology</v>
      </c>
      <c r="C210" s="10">
        <v>2.2999999999999998</v>
      </c>
      <c r="D210" s="3" t="s">
        <v>890</v>
      </c>
      <c r="E210" s="19">
        <v>8</v>
      </c>
      <c r="F210" s="20" t="s">
        <v>4925</v>
      </c>
      <c r="G210" s="7"/>
    </row>
    <row r="211" spans="1:7" ht="15.9" customHeight="1">
      <c r="A211" s="6">
        <v>207</v>
      </c>
      <c r="B211" s="3" t="str">
        <f>HYPERLINK("https://onlinelibrary.wiley.com/journal/jtsp","Journal of Theoretical Social Psychology")</f>
        <v>Journal of Theoretical Social Psychology</v>
      </c>
      <c r="C211" s="10">
        <v>2.2999999999999998</v>
      </c>
      <c r="D211" s="3" t="s">
        <v>886</v>
      </c>
      <c r="E211" s="19">
        <v>5</v>
      </c>
      <c r="F211" s="20" t="s">
        <v>4925</v>
      </c>
      <c r="G211" s="7"/>
    </row>
    <row r="212" spans="1:7" ht="15.9" customHeight="1">
      <c r="A212" s="6">
        <v>208</v>
      </c>
      <c r="B212" s="3" t="str">
        <f>HYPERLINK("https://www.sciencedirect.com/journal/mental-health-and-physical-activity","Mental Health and Physical Activity")</f>
        <v>Mental Health and Physical Activity</v>
      </c>
      <c r="C212" s="10">
        <v>2.2999999999999998</v>
      </c>
      <c r="D212" s="3" t="s">
        <v>884</v>
      </c>
      <c r="E212" s="19">
        <v>4</v>
      </c>
      <c r="F212" s="20" t="s">
        <v>4925</v>
      </c>
      <c r="G212" s="7"/>
    </row>
    <row r="213" spans="1:7" ht="15.9" customHeight="1">
      <c r="A213" s="6">
        <v>209</v>
      </c>
      <c r="B213" s="3" t="str">
        <f>HYPERLINK("https://www.sciencedirect.com/journal/new-ideas-in-psychology","New Ideas in Psychology")</f>
        <v>New Ideas in Psychology</v>
      </c>
      <c r="C213" s="10">
        <v>2.2999999999999998</v>
      </c>
      <c r="D213" s="3" t="s">
        <v>888</v>
      </c>
      <c r="E213" s="19">
        <v>5</v>
      </c>
      <c r="F213" s="20" t="s">
        <v>4925</v>
      </c>
      <c r="G213" s="7"/>
    </row>
    <row r="214" spans="1:7" ht="15.9" customHeight="1">
      <c r="A214" s="6">
        <v>210</v>
      </c>
      <c r="B214" s="3" t="str">
        <f>HYPERLINK("https://www.tandfonline.com/journals/cphm20","Psychology Health &amp; Medicine")</f>
        <v>Psychology Health &amp; Medicine</v>
      </c>
      <c r="C214" s="10">
        <v>2.2999999999999998</v>
      </c>
      <c r="D214" s="3" t="s">
        <v>887</v>
      </c>
      <c r="E214" s="19">
        <v>5</v>
      </c>
      <c r="F214" s="20" t="s">
        <v>4925</v>
      </c>
      <c r="G214" s="7"/>
    </row>
    <row r="215" spans="1:7" ht="15.9" customHeight="1">
      <c r="A215" s="6">
        <v>211</v>
      </c>
      <c r="B215" s="3" t="str">
        <f>HYPERLINK("https://www.sciencedirect.com/journal/schizophrenia-research-cognition","Schizophrenia Research-Cognition")</f>
        <v>Schizophrenia Research-Cognition</v>
      </c>
      <c r="C215" s="10">
        <v>2.2999999999999998</v>
      </c>
      <c r="D215" s="3" t="s">
        <v>883</v>
      </c>
      <c r="E215" s="19">
        <v>1</v>
      </c>
      <c r="F215" s="20" t="s">
        <v>371</v>
      </c>
      <c r="G215" s="7"/>
    </row>
    <row r="216" spans="1:7" ht="15.9" customHeight="1">
      <c r="A216" s="6">
        <v>212</v>
      </c>
      <c r="B216" s="3" t="str">
        <f>HYPERLINK("https://www.cambridge.org/core/journals/spanish-journal-of-psychology","The Spanish Journal of Psychology")</f>
        <v>The Spanish Journal of Psychology</v>
      </c>
      <c r="C216" s="10">
        <v>2.2999999999999998</v>
      </c>
      <c r="D216" s="3" t="s">
        <v>889</v>
      </c>
      <c r="E216" s="19">
        <v>5</v>
      </c>
      <c r="F216" s="20" t="s">
        <v>4925</v>
      </c>
      <c r="G216" s="7"/>
    </row>
    <row r="217" spans="1:7" ht="15.9" customHeight="1">
      <c r="A217" s="6">
        <v>213</v>
      </c>
      <c r="B217" s="3" t="str">
        <f>HYPERLINK("https://onlinelibrary.wiley.com/journal/24750360","Aging Medicine")</f>
        <v>Aging Medicine</v>
      </c>
      <c r="C217" s="10">
        <v>2.2000000000000002</v>
      </c>
      <c r="D217" s="3" t="s">
        <v>4977</v>
      </c>
      <c r="E217" s="19">
        <v>9</v>
      </c>
      <c r="F217" s="20" t="s">
        <v>4925</v>
      </c>
      <c r="G217" s="7"/>
    </row>
    <row r="218" spans="1:7" ht="15.9" customHeight="1">
      <c r="A218" s="6">
        <v>214</v>
      </c>
      <c r="B218" s="3" t="str">
        <f>HYPERLINK("https://bmcneurol.biomedcentral.com/","BMC Neurology")</f>
        <v>BMC Neurology</v>
      </c>
      <c r="C218" s="10">
        <v>2.2000000000000002</v>
      </c>
      <c r="D218" s="3" t="s">
        <v>896</v>
      </c>
      <c r="E218" s="19">
        <v>8</v>
      </c>
      <c r="F218" s="20" t="s">
        <v>4925</v>
      </c>
      <c r="G218" s="7"/>
    </row>
    <row r="219" spans="1:7" ht="15.9" customHeight="1">
      <c r="A219" s="6">
        <v>215</v>
      </c>
      <c r="B219" s="3" t="str">
        <f>HYPERLINK("https://karger.com/dem","Dementia and Geriatric Cognitive Disorders")</f>
        <v>Dementia and Geriatric Cognitive Disorders</v>
      </c>
      <c r="C219" s="10">
        <v>2.2000000000000002</v>
      </c>
      <c r="D219" s="3" t="s">
        <v>4363</v>
      </c>
      <c r="E219" s="19">
        <v>9</v>
      </c>
      <c r="F219" s="20" t="s">
        <v>4925</v>
      </c>
      <c r="G219" s="7"/>
    </row>
    <row r="220" spans="1:7" ht="15.9" customHeight="1">
      <c r="A220" s="6">
        <v>216</v>
      </c>
      <c r="B220" s="3" t="str">
        <f>HYPERLINK("https://hpr.termedia.pl/About-the-Journal,3418.html","Health Psychology Report")</f>
        <v>Health Psychology Report</v>
      </c>
      <c r="C220" s="10">
        <v>2.2000000000000002</v>
      </c>
      <c r="D220" s="3" t="s">
        <v>892</v>
      </c>
      <c r="E220" s="19">
        <v>5</v>
      </c>
      <c r="F220" s="20" t="s">
        <v>4925</v>
      </c>
      <c r="G220" s="7"/>
    </row>
    <row r="221" spans="1:7" ht="15.9" customHeight="1">
      <c r="A221" s="6">
        <v>217</v>
      </c>
      <c r="B221" s="3" t="str">
        <f>HYPERLINK("https://journals.sagepub.com/home/jah","Journal of Aging and Health")</f>
        <v>Journal of Aging and Health</v>
      </c>
      <c r="C221" s="10">
        <v>2.2000000000000002</v>
      </c>
      <c r="D221" s="3" t="s">
        <v>4978</v>
      </c>
      <c r="E221" s="19">
        <v>9</v>
      </c>
      <c r="F221" s="20" t="s">
        <v>4925</v>
      </c>
      <c r="G221" s="7"/>
    </row>
    <row r="222" spans="1:7" ht="15.9" customHeight="1">
      <c r="A222" s="6">
        <v>218</v>
      </c>
      <c r="B222" s="3" t="str">
        <f>HYPERLINK("https://journals.sagepub.com/home/jag","Journal of Applied Gerontology")</f>
        <v>Journal of Applied Gerontology</v>
      </c>
      <c r="C222" s="10">
        <v>2.2000000000000002</v>
      </c>
      <c r="D222" s="3" t="s">
        <v>4979</v>
      </c>
      <c r="E222" s="19">
        <v>9</v>
      </c>
      <c r="F222" s="20" t="s">
        <v>4925</v>
      </c>
      <c r="G222" s="7"/>
    </row>
    <row r="223" spans="1:7" ht="15.9" customHeight="1">
      <c r="A223" s="6">
        <v>219</v>
      </c>
      <c r="B223" s="3" t="str">
        <f>HYPERLINK("https://www.apa.org/pubs/journals/xlm","Journal of Experimental Psychology: Learning, Memory, and Cognition")</f>
        <v>Journal of Experimental Psychology: Learning, Memory, and Cognition</v>
      </c>
      <c r="C223" s="10">
        <v>2.2000000000000002</v>
      </c>
      <c r="D223" s="3" t="s">
        <v>894</v>
      </c>
      <c r="E223" s="19">
        <v>5</v>
      </c>
      <c r="F223" s="20" t="s">
        <v>4925</v>
      </c>
      <c r="G223" s="7"/>
    </row>
    <row r="224" spans="1:7" ht="15.9" customHeight="1">
      <c r="A224" s="6">
        <v>220</v>
      </c>
      <c r="B224" s="3" t="str">
        <f>HYPERLINK("https://www.neurology.org/journal/cpj","Neurology: Clinical Practice")</f>
        <v>Neurology: Clinical Practice</v>
      </c>
      <c r="C224" s="10">
        <v>2.2000000000000002</v>
      </c>
      <c r="D224" s="3" t="s">
        <v>895</v>
      </c>
      <c r="E224" s="19">
        <v>8</v>
      </c>
      <c r="F224" s="20" t="s">
        <v>4925</v>
      </c>
      <c r="G224" s="7"/>
    </row>
    <row r="225" spans="1:7" ht="15.9" customHeight="1">
      <c r="A225" s="6">
        <v>221</v>
      </c>
      <c r="B225" s="3" t="str">
        <f>HYPERLINK("https://www.tandfonline.com/journals/vjrl20","The Journal of Psychology")</f>
        <v>The Journal of Psychology</v>
      </c>
      <c r="C225" s="10">
        <v>2.2000000000000002</v>
      </c>
      <c r="D225" s="3" t="s">
        <v>893</v>
      </c>
      <c r="E225" s="19">
        <v>5</v>
      </c>
      <c r="F225" s="20" t="s">
        <v>4925</v>
      </c>
      <c r="G225" s="7"/>
    </row>
    <row r="226" spans="1:7" ht="15.9" customHeight="1">
      <c r="A226" s="6">
        <v>222</v>
      </c>
      <c r="B226" s="3" t="str">
        <f>HYPERLINK("https://www.scitechnol.com/international-journal-of-mental-health-and-psychiatry.php","International Journal of Mental Health &amp; Psychiatry")</f>
        <v>International Journal of Mental Health &amp; Psychiatry</v>
      </c>
      <c r="C226" s="10">
        <v>2.12</v>
      </c>
      <c r="D226" s="3" t="s">
        <v>897</v>
      </c>
      <c r="E226" s="19">
        <v>4</v>
      </c>
      <c r="F226" s="20" t="s">
        <v>4925</v>
      </c>
      <c r="G226" s="7"/>
    </row>
    <row r="227" spans="1:7" ht="15.9" customHeight="1">
      <c r="A227" s="6">
        <v>223</v>
      </c>
      <c r="B227" s="3" t="str">
        <f>HYPERLINK("https://onlinelibrary.wiley.com/journal/10990720","Applied Cognitive Psychology")</f>
        <v>Applied Cognitive Psychology</v>
      </c>
      <c r="C227" s="10">
        <v>2.1</v>
      </c>
      <c r="D227" s="3" t="s">
        <v>900</v>
      </c>
      <c r="E227" s="19">
        <v>5</v>
      </c>
      <c r="F227" s="20" t="s">
        <v>4925</v>
      </c>
      <c r="G227" s="7"/>
    </row>
    <row r="228" spans="1:7" ht="15.9" customHeight="1">
      <c r="A228" s="6">
        <v>224</v>
      </c>
      <c r="B228" s="3" t="str">
        <f>HYPERLINK("https://academic.oup.com/acn","Archives of Clinical Neuropsychology")</f>
        <v>Archives of Clinical Neuropsychology</v>
      </c>
      <c r="C228" s="10">
        <v>2.1</v>
      </c>
      <c r="D228" s="3" t="s">
        <v>899</v>
      </c>
      <c r="E228" s="19">
        <v>5</v>
      </c>
      <c r="F228" s="20" t="s">
        <v>4925</v>
      </c>
      <c r="G228" s="7"/>
    </row>
    <row r="229" spans="1:7" ht="15.9" customHeight="1">
      <c r="A229" s="6">
        <v>225</v>
      </c>
      <c r="B229" s="3" t="str">
        <f>HYPERLINK("https://link.springer.com/journal/40473","Current Behavioral Neuroscience Reports")</f>
        <v>Current Behavioral Neuroscience Reports</v>
      </c>
      <c r="C229" s="10">
        <v>2.1</v>
      </c>
      <c r="D229" s="3" t="s">
        <v>903</v>
      </c>
      <c r="E229" s="19">
        <v>8</v>
      </c>
      <c r="F229" s="20" t="s">
        <v>4925</v>
      </c>
      <c r="G229" s="7"/>
    </row>
    <row r="230" spans="1:7" ht="15.9" customHeight="1">
      <c r="A230" s="6">
        <v>226</v>
      </c>
      <c r="B230" s="3" t="str">
        <f>HYPERLINK("https://onlinelibrary.wiley.com/journal/17517893","Early Intervention in Psychiatry")</f>
        <v>Early Intervention in Psychiatry</v>
      </c>
      <c r="C230" s="10">
        <v>2.1</v>
      </c>
      <c r="D230" s="3" t="s">
        <v>898</v>
      </c>
      <c r="E230" s="19">
        <v>4</v>
      </c>
      <c r="F230" s="20" t="s">
        <v>4925</v>
      </c>
      <c r="G230" s="7"/>
    </row>
    <row r="231" spans="1:7" ht="15.9" customHeight="1">
      <c r="A231" s="6">
        <v>227</v>
      </c>
      <c r="B231" s="3" t="str">
        <f>HYPERLINK("https://www.hogrefe.com/us/journal/european-journal-of-health-psychology","European Journal of Health Psychology")</f>
        <v>European Journal of Health Psychology</v>
      </c>
      <c r="C231" s="10">
        <v>2.1</v>
      </c>
      <c r="D231" s="3" t="s">
        <v>901</v>
      </c>
      <c r="E231" s="19">
        <v>5</v>
      </c>
      <c r="F231" s="20" t="s">
        <v>4925</v>
      </c>
      <c r="G231" s="7"/>
    </row>
    <row r="232" spans="1:7" ht="15.9" customHeight="1">
      <c r="A232" s="6">
        <v>228</v>
      </c>
      <c r="B232" s="3" t="str">
        <f>HYPERLINK("https://karger.com/ene","European Neurology")</f>
        <v>European Neurology</v>
      </c>
      <c r="C232" s="10">
        <v>2.1</v>
      </c>
      <c r="D232" s="3" t="s">
        <v>902</v>
      </c>
      <c r="E232" s="19">
        <v>8</v>
      </c>
      <c r="F232" s="20" t="s">
        <v>4925</v>
      </c>
      <c r="G232" s="7"/>
    </row>
    <row r="233" spans="1:7" ht="15.9" customHeight="1">
      <c r="A233" s="6">
        <v>229</v>
      </c>
      <c r="B233" s="3" t="str">
        <f>HYPERLINK("https://journals.sagepub.com/home/ggm","Gerontology and Geriatric Medicine")</f>
        <v>Gerontology and Geriatric Medicine</v>
      </c>
      <c r="C233" s="10">
        <v>2.1</v>
      </c>
      <c r="D233" s="3" t="s">
        <v>4361</v>
      </c>
      <c r="E233" s="19">
        <v>9</v>
      </c>
      <c r="F233" s="20" t="s">
        <v>4925</v>
      </c>
      <c r="G233" s="7"/>
    </row>
    <row r="234" spans="1:7" ht="15.9" customHeight="1">
      <c r="A234" s="6">
        <v>230</v>
      </c>
      <c r="B234" s="3" t="str">
        <f>HYPERLINK("https://www.tandfonline.com/journals/pcns20","Cognitive Neuroscience")</f>
        <v>Cognitive Neuroscience</v>
      </c>
      <c r="C234" s="10">
        <v>2</v>
      </c>
      <c r="D234" s="3" t="s">
        <v>908</v>
      </c>
      <c r="E234" s="19">
        <v>8</v>
      </c>
      <c r="F234" s="20" t="s">
        <v>4925</v>
      </c>
      <c r="G234" s="7"/>
    </row>
    <row r="235" spans="1:7" ht="15.9" customHeight="1">
      <c r="A235" s="6">
        <v>231</v>
      </c>
      <c r="B235" s="3" t="str">
        <f>HYPERLINK("https://healthpsychologyresearch.openmedicalpublishing.org/","Health Psychology Research")</f>
        <v>Health Psychology Research</v>
      </c>
      <c r="C235" s="10">
        <v>2</v>
      </c>
      <c r="D235" s="3" t="s">
        <v>905</v>
      </c>
      <c r="E235" s="19">
        <v>5</v>
      </c>
      <c r="F235" s="20" t="s">
        <v>4925</v>
      </c>
      <c r="G235" s="7"/>
    </row>
    <row r="236" spans="1:7" ht="15.9" customHeight="1">
      <c r="A236" s="6">
        <v>232</v>
      </c>
      <c r="B236" s="3" t="str">
        <f>HYPERLINK("https://www.sciencedirect.com/journal/ibro-neuroscience-reports","IBRO Neuroscience Reports")</f>
        <v>IBRO Neuroscience Reports</v>
      </c>
      <c r="C236" s="10">
        <v>2</v>
      </c>
      <c r="D236" s="3" t="s">
        <v>907</v>
      </c>
      <c r="E236" s="19">
        <v>8</v>
      </c>
      <c r="F236" s="20" t="s">
        <v>4925</v>
      </c>
      <c r="G236" s="7"/>
    </row>
    <row r="237" spans="1:7" ht="15.9" customHeight="1">
      <c r="A237" s="6">
        <v>233</v>
      </c>
      <c r="B237" s="3" t="str">
        <f>HYPERLINK("https://bpspsychub.onlinelibrary.wiley.com/journal/17486653","Journal of Neuropsychology")</f>
        <v>Journal of Neuropsychology</v>
      </c>
      <c r="C237" s="10">
        <v>2</v>
      </c>
      <c r="D237" s="3" t="s">
        <v>906</v>
      </c>
      <c r="E237" s="19">
        <v>5</v>
      </c>
      <c r="F237" s="20" t="s">
        <v>4925</v>
      </c>
      <c r="G237" s="7"/>
    </row>
    <row r="238" spans="1:7" ht="15.9" customHeight="1">
      <c r="A238" s="6">
        <v>234</v>
      </c>
      <c r="B238" s="3" t="str">
        <f>HYPERLINK("https://austinpublishinggroup.com/psychiatry-mental-disorders/","Journal of Psychiatry &amp; Mental Disorders")</f>
        <v>Journal of Psychiatry &amp; Mental Disorders</v>
      </c>
      <c r="C238" s="10">
        <v>2</v>
      </c>
      <c r="D238" s="3" t="s">
        <v>909</v>
      </c>
      <c r="E238" s="19">
        <v>3</v>
      </c>
      <c r="F238" s="20" t="s">
        <v>4325</v>
      </c>
      <c r="G238" s="7"/>
    </row>
    <row r="239" spans="1:7" ht="15.9" customHeight="1">
      <c r="A239" s="6">
        <v>235</v>
      </c>
      <c r="B239" s="3" t="str">
        <f>HYPERLINK("https://onlinelibrary.wiley.com/journal/1932863X","Personality and Mental Health")</f>
        <v>Personality and Mental Health</v>
      </c>
      <c r="C239" s="10">
        <v>2</v>
      </c>
      <c r="D239" s="3" t="s">
        <v>904</v>
      </c>
      <c r="E239" s="19">
        <v>4</v>
      </c>
      <c r="F239" s="20" t="s">
        <v>4925</v>
      </c>
      <c r="G239" s="7"/>
    </row>
    <row r="240" spans="1:7" ht="15.9" customHeight="1">
      <c r="A240" s="6">
        <v>236</v>
      </c>
      <c r="B240" s="3" t="str">
        <f>HYPERLINK("https://austinpublishinggroup.com/schizophrenia/","Journal of Schizophrenia Research")</f>
        <v>Journal of Schizophrenia Research</v>
      </c>
      <c r="C240" s="10">
        <v>1.9</v>
      </c>
      <c r="D240" s="3" t="s">
        <v>910</v>
      </c>
      <c r="E240" s="19">
        <v>1</v>
      </c>
      <c r="F240" s="20" t="s">
        <v>371</v>
      </c>
      <c r="G240" s="7"/>
    </row>
    <row r="241" spans="1:7" ht="15.9" customHeight="1">
      <c r="A241" s="6">
        <v>237</v>
      </c>
      <c r="B241" s="3" t="str">
        <f>HYPERLINK("https://www.sciencedirect.com/journal/revista-espanola-de-geriatria-y-gerontologia/about/editorial-board","Spanish Journal of Geriatrics and Gerontology")</f>
        <v>Spanish Journal of Geriatrics and Gerontology</v>
      </c>
      <c r="C241" s="10">
        <v>1.9</v>
      </c>
      <c r="D241" s="3" t="s">
        <v>5017</v>
      </c>
      <c r="E241" s="19">
        <v>9</v>
      </c>
      <c r="F241" s="20" t="s">
        <v>4925</v>
      </c>
      <c r="G241" s="7"/>
    </row>
    <row r="242" spans="1:7" ht="15.9" customHeight="1">
      <c r="A242" s="6">
        <v>238</v>
      </c>
      <c r="B242" s="3" t="str">
        <f>HYPERLINK("https://academic.oup.com/schizbullopen","Schizophrenia Bulletin Open")</f>
        <v>Schizophrenia Bulletin Open</v>
      </c>
      <c r="C242" s="10">
        <v>1.86</v>
      </c>
      <c r="D242" s="3" t="s">
        <v>729</v>
      </c>
      <c r="E242" s="19">
        <v>1</v>
      </c>
      <c r="F242" s="20" t="s">
        <v>371</v>
      </c>
      <c r="G242" s="7"/>
    </row>
    <row r="243" spans="1:7" ht="15.9" customHeight="1">
      <c r="A243" s="6">
        <v>239</v>
      </c>
      <c r="B243" s="3" t="str">
        <f>HYPERLINK("https://link.springer.com/journal/10597","Community Mental Health Journal")</f>
        <v>Community Mental Health Journal</v>
      </c>
      <c r="C243" s="10">
        <v>1.8</v>
      </c>
      <c r="D243" s="3" t="s">
        <v>911</v>
      </c>
      <c r="E243" s="19">
        <v>4</v>
      </c>
      <c r="F243" s="20" t="s">
        <v>4925</v>
      </c>
      <c r="G243" s="7"/>
    </row>
    <row r="244" spans="1:7" ht="15.9" customHeight="1">
      <c r="A244" s="6">
        <v>240</v>
      </c>
      <c r="B244" s="3" t="str">
        <f>HYPERLINK("https://www.eurekaselect.com/journal/66/about-journal","Current Alzheimer Research")</f>
        <v>Current Alzheimer Research</v>
      </c>
      <c r="C244" s="10">
        <v>1.8</v>
      </c>
      <c r="D244" s="3" t="s">
        <v>4342</v>
      </c>
      <c r="E244" s="19">
        <v>6</v>
      </c>
      <c r="F244" s="20" t="s">
        <v>4335</v>
      </c>
      <c r="G244" s="7"/>
    </row>
    <row r="245" spans="1:7" ht="15.9" customHeight="1">
      <c r="A245" s="6">
        <v>241</v>
      </c>
      <c r="B245" s="3" t="str">
        <f>HYPERLINK("https://www.tandfonline.com/journals/ncen20","Journal of Clinical and Experimental Neuropsychology")</f>
        <v>Journal of Clinical and Experimental Neuropsychology</v>
      </c>
      <c r="C245" s="10">
        <v>1.8</v>
      </c>
      <c r="D245" s="3" t="s">
        <v>912</v>
      </c>
      <c r="E245" s="19">
        <v>5</v>
      </c>
      <c r="F245" s="20" t="s">
        <v>4925</v>
      </c>
      <c r="G245" s="7"/>
    </row>
    <row r="246" spans="1:7" ht="15.9" customHeight="1">
      <c r="A246" s="6">
        <v>242</v>
      </c>
      <c r="B246" s="3" t="str">
        <f>HYPERLINK("https://www.sciencedirect.com/journal/mental-health-and-prevention","Mental Health &amp; Prevention")</f>
        <v>Mental Health &amp; Prevention</v>
      </c>
      <c r="C246" s="10">
        <v>1.8</v>
      </c>
      <c r="D246" s="3" t="s">
        <v>913</v>
      </c>
      <c r="E246" s="19">
        <v>4</v>
      </c>
      <c r="F246" s="20" t="s">
        <v>4925</v>
      </c>
      <c r="G246" s="7"/>
    </row>
    <row r="247" spans="1:7" ht="15.9" customHeight="1">
      <c r="A247" s="6">
        <v>243</v>
      </c>
      <c r="B247" s="3" t="str">
        <f>HYPERLINK("https://journals.sagepub.com/home/roa","Research on Aging")</f>
        <v>Research on Aging</v>
      </c>
      <c r="C247" s="10">
        <v>1.8</v>
      </c>
      <c r="D247" s="3" t="s">
        <v>4980</v>
      </c>
      <c r="E247" s="19">
        <v>9</v>
      </c>
      <c r="F247" s="20" t="s">
        <v>4925</v>
      </c>
      <c r="G247" s="7"/>
    </row>
    <row r="248" spans="1:7" ht="15.9" customHeight="1">
      <c r="A248" s="6">
        <v>244</v>
      </c>
      <c r="B248" s="3" t="str">
        <f>HYPERLINK("https://www.cambridge.org/core/journals/canadian-journal-on-aging-la-revue-canadienne-du-vieillissement","Canadian Journal on Aging")</f>
        <v>Canadian Journal on Aging</v>
      </c>
      <c r="C248" s="10">
        <v>1.7</v>
      </c>
      <c r="D248" s="3" t="s">
        <v>4981</v>
      </c>
      <c r="E248" s="19">
        <v>9</v>
      </c>
      <c r="F248" s="20" t="s">
        <v>4925</v>
      </c>
      <c r="G248" s="7"/>
    </row>
    <row r="249" spans="1:7" ht="15.9" customHeight="1">
      <c r="A249" s="6">
        <v>245</v>
      </c>
      <c r="B249" s="3" t="str">
        <f>HYPERLINK("https://www.sciencedirect.com/journal/journal-of-behavior-therapy-and-experimental-psychiatry","Journal of Behavior Therapy and Experimental Psychiatry")</f>
        <v>Journal of Behavior Therapy and Experimental Psychiatry</v>
      </c>
      <c r="C249" s="10">
        <v>1.7</v>
      </c>
      <c r="D249" s="3" t="s">
        <v>914</v>
      </c>
      <c r="E249" s="19">
        <v>4</v>
      </c>
      <c r="F249" s="20" t="s">
        <v>4925</v>
      </c>
      <c r="G249" s="7"/>
    </row>
    <row r="250" spans="1:7" ht="15.9" customHeight="1">
      <c r="A250" s="6">
        <v>246</v>
      </c>
      <c r="B250" s="3" t="str">
        <f>HYPERLINK("https://www.tandfonline.com/journals/wjwa20","Journal of Women and Aging")</f>
        <v>Journal of Women and Aging</v>
      </c>
      <c r="C250" s="10">
        <v>1.7</v>
      </c>
      <c r="D250" s="3" t="s">
        <v>4982</v>
      </c>
      <c r="E250" s="19">
        <v>9</v>
      </c>
      <c r="F250" s="20" t="s">
        <v>4925</v>
      </c>
      <c r="G250" s="7"/>
    </row>
    <row r="251" spans="1:7" ht="15.9" customHeight="1">
      <c r="A251" s="6">
        <v>247</v>
      </c>
      <c r="B251" s="3" t="str">
        <f>HYPERLINK("https://onlinelibrary.wiley.com/journal/14798301","Psychogeriatrics")</f>
        <v>Psychogeriatrics</v>
      </c>
      <c r="C251" s="10">
        <v>1.7</v>
      </c>
      <c r="D251" s="3" t="s">
        <v>4357</v>
      </c>
      <c r="E251" s="19">
        <v>5</v>
      </c>
      <c r="F251" s="20" t="s">
        <v>4925</v>
      </c>
      <c r="G251" s="7"/>
    </row>
    <row r="252" spans="1:7" ht="15.9" customHeight="1">
      <c r="A252" s="6">
        <v>248</v>
      </c>
      <c r="B252" s="3" t="str">
        <f>HYPERLINK("https://www.tandfonline.com/journals/nanc20","Aging, Neuropsychology, and Cognition")</f>
        <v>Aging, Neuropsychology, and Cognition</v>
      </c>
      <c r="C252" s="10">
        <v>1.6</v>
      </c>
      <c r="D252" s="3" t="s">
        <v>918</v>
      </c>
      <c r="E252" s="19">
        <v>5</v>
      </c>
      <c r="F252" s="20" t="s">
        <v>4925</v>
      </c>
      <c r="G252" s="7"/>
    </row>
    <row r="253" spans="1:7" ht="15.9" customHeight="1">
      <c r="A253" s="6">
        <v>249</v>
      </c>
      <c r="B253" s="3" t="str">
        <f>HYPERLINK("https://cgjonline.ca/index.php/cgj","Canadian Geriatrics Journal")</f>
        <v>Canadian Geriatrics Journal</v>
      </c>
      <c r="C253" s="10">
        <v>1.6</v>
      </c>
      <c r="D253" s="3" t="s">
        <v>4351</v>
      </c>
      <c r="E253" s="19">
        <v>9</v>
      </c>
      <c r="F253" s="20" t="s">
        <v>4925</v>
      </c>
      <c r="G253" s="7"/>
    </row>
    <row r="254" spans="1:7" ht="15.9" customHeight="1">
      <c r="A254" s="6">
        <v>250</v>
      </c>
      <c r="B254" s="3" t="str">
        <f>HYPERLINK("https://www.tandfonline.com/journals/hdvn20","Developmental Neuropsychology")</f>
        <v>Developmental Neuropsychology</v>
      </c>
      <c r="C254" s="10">
        <v>1.6</v>
      </c>
      <c r="D254" s="3" t="s">
        <v>917</v>
      </c>
      <c r="E254" s="19">
        <v>5</v>
      </c>
      <c r="F254" s="20" t="s">
        <v>4925</v>
      </c>
      <c r="G254" s="7"/>
    </row>
    <row r="255" spans="1:7" ht="15.9" customHeight="1">
      <c r="A255" s="6">
        <v>251</v>
      </c>
      <c r="B255" s="3" t="str">
        <f>HYPERLINK("https://onlinelibrary.wiley.com/journal/9025","Journal of Aging Research")</f>
        <v>Journal of Aging Research</v>
      </c>
      <c r="C255" s="10">
        <v>1.6</v>
      </c>
      <c r="D255" s="3" t="s">
        <v>4983</v>
      </c>
      <c r="E255" s="19">
        <v>9</v>
      </c>
      <c r="F255" s="20" t="s">
        <v>4925</v>
      </c>
      <c r="G255" s="7"/>
    </row>
    <row r="256" spans="1:7" ht="15.9" customHeight="1">
      <c r="A256" s="6">
        <v>252</v>
      </c>
      <c r="B256" s="3" t="str">
        <f>HYPERLINK("https://www.tandfonline.com/journals/umid20","Journal of Mental Health Research in Intellectual Disabilities")</f>
        <v>Journal of Mental Health Research in Intellectual Disabilities</v>
      </c>
      <c r="C256" s="10">
        <v>1.6</v>
      </c>
      <c r="D256" s="3" t="s">
        <v>916</v>
      </c>
      <c r="E256" s="19">
        <v>4</v>
      </c>
      <c r="F256" s="20" t="s">
        <v>4925</v>
      </c>
      <c r="G256" s="7"/>
    </row>
    <row r="257" spans="1:7" ht="15.9" customHeight="1">
      <c r="A257" s="6">
        <v>253</v>
      </c>
      <c r="B257" s="3" t="str">
        <f>HYPERLINK("https://www.emeraldgrouppublishing.com/journal/jpmh","Journal of Public Mental Health")</f>
        <v>Journal of Public Mental Health</v>
      </c>
      <c r="C257" s="10">
        <v>1.6</v>
      </c>
      <c r="D257" s="3" t="s">
        <v>915</v>
      </c>
      <c r="E257" s="19">
        <v>4</v>
      </c>
      <c r="F257" s="20" t="s">
        <v>4925</v>
      </c>
      <c r="G257" s="7"/>
    </row>
    <row r="258" spans="1:7" ht="15.9" customHeight="1">
      <c r="A258" s="6">
        <v>254</v>
      </c>
      <c r="B258" s="3" t="str">
        <f>HYPERLINK("https://www.tandfonline.com/journals/pcnp20/about-this-journal#aims-and-scope","Cognitive Neuropsychiatry")</f>
        <v>Cognitive Neuropsychiatry</v>
      </c>
      <c r="C258" s="10">
        <v>1.5</v>
      </c>
      <c r="D258" s="3" t="s">
        <v>919</v>
      </c>
      <c r="E258" s="19">
        <v>3</v>
      </c>
      <c r="F258" s="20" t="s">
        <v>4325</v>
      </c>
      <c r="G258" s="7"/>
    </row>
    <row r="259" spans="1:7" ht="15.9" customHeight="1">
      <c r="A259" s="6">
        <v>255</v>
      </c>
      <c r="B259" s="3" t="str">
        <f>HYPERLINK("https://journals.lww.com/jgpt/pages/default.aspx","Journal of Geriatric Physical Therapy")</f>
        <v>Journal of Geriatric Physical Therapy</v>
      </c>
      <c r="C259" s="10">
        <v>1.5</v>
      </c>
      <c r="D259" s="3" t="s">
        <v>4365</v>
      </c>
      <c r="E259" s="19">
        <v>9</v>
      </c>
      <c r="F259" s="20" t="s">
        <v>4925</v>
      </c>
      <c r="G259" s="7"/>
    </row>
    <row r="260" spans="1:7" ht="15.9" customHeight="1">
      <c r="A260" s="6">
        <v>256</v>
      </c>
      <c r="B260" s="3" t="str">
        <f>HYPERLINK("https://www.tandfonline.com/journals/ramh20","Advances in Mental Health")</f>
        <v>Advances in Mental Health</v>
      </c>
      <c r="C260" s="10">
        <v>1.4</v>
      </c>
      <c r="D260" s="3" t="s">
        <v>921</v>
      </c>
      <c r="E260" s="19">
        <v>4</v>
      </c>
      <c r="F260" s="20" t="s">
        <v>4925</v>
      </c>
      <c r="G260" s="7"/>
    </row>
    <row r="261" spans="1:7" ht="15.9" customHeight="1">
      <c r="A261" s="6">
        <v>257</v>
      </c>
      <c r="B261" s="3" t="str">
        <f>HYPERLINK("https://www.tandfonline.com/journals/hapn21","Applied Neuropsychology: Adult")</f>
        <v>Applied Neuropsychology: Adult</v>
      </c>
      <c r="C261" s="10">
        <v>1.4</v>
      </c>
      <c r="D261" s="3" t="s">
        <v>922</v>
      </c>
      <c r="E261" s="19">
        <v>5</v>
      </c>
      <c r="F261" s="20" t="s">
        <v>4925</v>
      </c>
      <c r="G261" s="7"/>
    </row>
    <row r="262" spans="1:7" ht="15.9" customHeight="1">
      <c r="A262" s="6">
        <v>258</v>
      </c>
      <c r="B262" s="3" t="str">
        <f>HYPERLINK("https://karger.com/dee","Dementia and Geriatric Cognitive Disorders Extra")</f>
        <v>Dementia and Geriatric Cognitive Disorders Extra</v>
      </c>
      <c r="C262" s="10">
        <v>1.4</v>
      </c>
      <c r="D262" s="3" t="s">
        <v>4359</v>
      </c>
      <c r="E262" s="19">
        <v>9</v>
      </c>
      <c r="F262" s="20" t="s">
        <v>4925</v>
      </c>
      <c r="G262" s="7"/>
    </row>
    <row r="263" spans="1:7" ht="15.9" customHeight="1">
      <c r="A263" s="6">
        <v>259</v>
      </c>
      <c r="B263" s="3" t="str">
        <f>HYPERLINK("https://www.tandfonline.com/journals/uear20","Experimental Aging Research")</f>
        <v>Experimental Aging Research</v>
      </c>
      <c r="C263" s="10">
        <v>1.4</v>
      </c>
      <c r="D263" s="3" t="s">
        <v>4984</v>
      </c>
      <c r="E263" s="19">
        <v>9</v>
      </c>
      <c r="F263" s="20" t="s">
        <v>4925</v>
      </c>
      <c r="G263" s="7"/>
    </row>
    <row r="264" spans="1:7" ht="15.9" customHeight="1">
      <c r="A264" s="6">
        <v>260</v>
      </c>
      <c r="B264" s="3" t="str">
        <f>HYPERLINK("https://www.tandfonline.com/journals/mimh20","International Journal of Mental Health")</f>
        <v>International Journal of Mental Health</v>
      </c>
      <c r="C264" s="10">
        <v>1.4</v>
      </c>
      <c r="D264" s="3" t="s">
        <v>920</v>
      </c>
      <c r="E264" s="19">
        <v>4</v>
      </c>
      <c r="F264" s="20" t="s">
        <v>4925</v>
      </c>
      <c r="G264" s="7"/>
    </row>
    <row r="265" spans="1:7" ht="15.9" customHeight="1">
      <c r="A265" s="6">
        <v>261</v>
      </c>
      <c r="B265" s="3" t="str">
        <f>HYPERLINK("https://journals.humankinetics.com/view/journals/japa/japa-overview.xml","Journal of Aging and Physical Activity")</f>
        <v>Journal of Aging and Physical Activity</v>
      </c>
      <c r="C265" s="10">
        <v>1.4</v>
      </c>
      <c r="D265" s="3" t="s">
        <v>4985</v>
      </c>
      <c r="E265" s="19">
        <v>9</v>
      </c>
      <c r="F265" s="20" t="s">
        <v>4925</v>
      </c>
      <c r="G265" s="7"/>
    </row>
    <row r="266" spans="1:7" ht="15.9" customHeight="1">
      <c r="A266" s="6">
        <v>262</v>
      </c>
      <c r="B266" s="3" t="str">
        <f>HYPERLINK("https://link.springer.com/journal/10823","Journal of Cross-Cultural Gerontology")</f>
        <v>Journal of Cross-Cultural Gerontology</v>
      </c>
      <c r="C266" s="10">
        <v>1.3</v>
      </c>
      <c r="D266" s="3" t="s">
        <v>4986</v>
      </c>
      <c r="E266" s="19">
        <v>9</v>
      </c>
      <c r="F266" s="20" t="s">
        <v>4925</v>
      </c>
      <c r="G266" s="7"/>
    </row>
    <row r="267" spans="1:7" ht="15.9" customHeight="1">
      <c r="A267" s="6">
        <v>263</v>
      </c>
      <c r="B267" s="3" t="str">
        <f>HYPERLINK("https://onlinelibrary.wiley.com/journal/1931227x","Progress in Neurology and Psychiatry")</f>
        <v>Progress in Neurology and Psychiatry</v>
      </c>
      <c r="C267" s="10">
        <v>1.3</v>
      </c>
      <c r="D267" s="3" t="s">
        <v>923</v>
      </c>
      <c r="E267" s="19">
        <v>4</v>
      </c>
      <c r="F267" s="20" t="s">
        <v>4925</v>
      </c>
      <c r="G267" s="7"/>
    </row>
    <row r="268" spans="1:7" ht="15.9" customHeight="1">
      <c r="A268" s="6">
        <v>264</v>
      </c>
      <c r="B268" s="3" t="str">
        <f>HYPERLINK("https://www.emeraldgrouppublishing.com/journal/amhid#journal_aims_scope","Advances in Mental Health and Intellectual Disabilities")</f>
        <v>Advances in Mental Health and Intellectual Disabilities</v>
      </c>
      <c r="C268" s="10">
        <v>1.2</v>
      </c>
      <c r="D268" s="3" t="s">
        <v>924</v>
      </c>
      <c r="E268" s="19">
        <v>4</v>
      </c>
      <c r="F268" s="20" t="s">
        <v>4925</v>
      </c>
      <c r="G268" s="7"/>
    </row>
    <row r="269" spans="1:7" ht="15.9" customHeight="1">
      <c r="A269" s="6">
        <v>265</v>
      </c>
      <c r="B269" s="3" t="str">
        <f>HYPERLINK("https://journals.sagepub.com/home/ahd","International Journal of Aging and Human Development")</f>
        <v>International Journal of Aging and Human Development</v>
      </c>
      <c r="C269" s="10">
        <v>1.2</v>
      </c>
      <c r="D269" s="3" t="s">
        <v>4987</v>
      </c>
      <c r="E269" s="19">
        <v>9</v>
      </c>
      <c r="F269" s="20" t="s">
        <v>4925</v>
      </c>
      <c r="G269" s="7"/>
    </row>
    <row r="270" spans="1:7" ht="15.9" customHeight="1">
      <c r="A270" s="6">
        <v>266</v>
      </c>
      <c r="B270" s="3" t="str">
        <f>HYPERLINK("https://www.tandfonline.com/journals/rpsy20","Psychosis: Psychological, Social and Integrative Approaches")</f>
        <v>Psychosis: Psychological, Social and Integrative Approaches</v>
      </c>
      <c r="C270" s="10">
        <v>1.2</v>
      </c>
      <c r="D270" s="3" t="s">
        <v>925</v>
      </c>
      <c r="E270" s="19">
        <v>3</v>
      </c>
      <c r="F270" s="20" t="s">
        <v>4325</v>
      </c>
      <c r="G270" s="7"/>
    </row>
    <row r="271" spans="1:7" ht="15.9" customHeight="1">
      <c r="A271" s="6">
        <v>267</v>
      </c>
      <c r="B271" s="3" t="str">
        <f>HYPERLINK("https://www.scirp.org/journal/aimscope?journalid=1408","Advances in Alzheimer's Disease")</f>
        <v>Advances in Alzheimer's Disease</v>
      </c>
      <c r="C271" s="10">
        <v>1.1000000000000001</v>
      </c>
      <c r="D271" s="3" t="s">
        <v>4371</v>
      </c>
      <c r="E271" s="19">
        <v>6</v>
      </c>
      <c r="F271" s="20" t="s">
        <v>4335</v>
      </c>
      <c r="G271" s="7"/>
    </row>
    <row r="272" spans="1:7" ht="15.9" customHeight="1">
      <c r="A272" s="6">
        <v>268</v>
      </c>
      <c r="B272" s="3" t="str">
        <f>HYPERLINK("https://link.springer.com/journal/13670","Current Geriatrics Reports")</f>
        <v>Current Geriatrics Reports</v>
      </c>
      <c r="C272" s="10">
        <v>1.1000000000000001</v>
      </c>
      <c r="D272" s="3" t="s">
        <v>4352</v>
      </c>
      <c r="E272" s="19">
        <v>9</v>
      </c>
      <c r="F272" s="20" t="s">
        <v>4925</v>
      </c>
      <c r="G272" s="7"/>
    </row>
    <row r="273" spans="1:7" ht="15.9" customHeight="1">
      <c r="A273" s="6">
        <v>269</v>
      </c>
      <c r="B273" s="3" t="str">
        <f>HYPERLINK("https://www.tandfonline.com/journals/uedg20","Educational Gerontology")</f>
        <v>Educational Gerontology</v>
      </c>
      <c r="C273" s="10">
        <v>1.1000000000000001</v>
      </c>
      <c r="D273" s="3" t="s">
        <v>4988</v>
      </c>
      <c r="E273" s="19">
        <v>9</v>
      </c>
      <c r="F273" s="20" t="s">
        <v>4925</v>
      </c>
      <c r="G273" s="7"/>
    </row>
    <row r="274" spans="1:7" ht="15.9" customHeight="1">
      <c r="A274" s="6">
        <v>270</v>
      </c>
      <c r="B274" s="3" t="str">
        <f>HYPERLINK("https://link.springer.com/journal/391","Journal of Gerontology &amp; Geriatrics")</f>
        <v>Journal of Gerontology &amp; Geriatrics</v>
      </c>
      <c r="C274" s="10">
        <v>1.1000000000000001</v>
      </c>
      <c r="D274" s="3" t="s">
        <v>4989</v>
      </c>
      <c r="E274" s="19">
        <v>9</v>
      </c>
      <c r="F274" s="20" t="s">
        <v>4925</v>
      </c>
      <c r="G274" s="7"/>
    </row>
    <row r="275" spans="1:7" ht="15.9" customHeight="1">
      <c r="A275" s="6">
        <v>271</v>
      </c>
      <c r="B275" s="3" t="str">
        <f>HYPERLINK("https://journals.healio.com/journal/rgn","Research in gerontological nursing")</f>
        <v>Research in gerontological nursing</v>
      </c>
      <c r="C275" s="10">
        <v>1.1000000000000001</v>
      </c>
      <c r="D275" s="3" t="s">
        <v>4990</v>
      </c>
      <c r="E275" s="19">
        <v>9</v>
      </c>
      <c r="F275" s="20" t="s">
        <v>4925</v>
      </c>
      <c r="G275" s="7"/>
    </row>
    <row r="276" spans="1:7" ht="15.9" customHeight="1">
      <c r="A276" s="6">
        <v>272</v>
      </c>
      <c r="B276" s="3" t="str">
        <f>HYPERLINK("https://journals.sagepub.com/home/ijp","The International Journal of Psychiatry in Medicine")</f>
        <v>The International Journal of Psychiatry in Medicine</v>
      </c>
      <c r="C276" s="10">
        <v>1.1000000000000001</v>
      </c>
      <c r="D276" s="3" t="s">
        <v>926</v>
      </c>
      <c r="E276" s="19">
        <v>4</v>
      </c>
      <c r="F276" s="20" t="s">
        <v>4925</v>
      </c>
      <c r="G276" s="7"/>
    </row>
    <row r="277" spans="1:7" ht="15.9" customHeight="1">
      <c r="A277" s="6">
        <v>273</v>
      </c>
      <c r="B277" s="3" t="str">
        <f>HYPERLINK("https://www.techscience.com/journal/IJMHP","International Journal of Mental Health Promotion")</f>
        <v>International Journal of Mental Health Promotion</v>
      </c>
      <c r="C277" s="10">
        <v>1</v>
      </c>
      <c r="D277" s="3" t="s">
        <v>927</v>
      </c>
      <c r="E277" s="19">
        <v>4</v>
      </c>
      <c r="F277" s="20" t="s">
        <v>4925</v>
      </c>
      <c r="G277" s="7"/>
    </row>
    <row r="278" spans="1:7" ht="15.9" customHeight="1">
      <c r="A278" s="6">
        <v>274</v>
      </c>
      <c r="B278" s="3" t="str">
        <f>HYPERLINK("https://www.emeraldgrouppublishing.com/journal/mhrj","Mental Health Review Journal")</f>
        <v>Mental Health Review Journal</v>
      </c>
      <c r="C278" s="10">
        <v>1</v>
      </c>
      <c r="D278" s="3" t="s">
        <v>928</v>
      </c>
      <c r="E278" s="19">
        <v>4</v>
      </c>
      <c r="F278" s="20" t="s">
        <v>4925</v>
      </c>
      <c r="G278" s="7"/>
    </row>
    <row r="279" spans="1:7" ht="15.9" customHeight="1">
      <c r="A279" s="6">
        <v>275</v>
      </c>
      <c r="B279" s="3" t="str">
        <f>HYPERLINK("https://www.tandfonline.com/journals/wgge20","Gerontology &amp; Geriatrics Education")</f>
        <v>Gerontology &amp; Geriatrics Education</v>
      </c>
      <c r="C279" s="10">
        <v>0.8</v>
      </c>
      <c r="D279" s="3" t="s">
        <v>4350</v>
      </c>
      <c r="E279" s="19">
        <v>9</v>
      </c>
      <c r="F279" s="20" t="s">
        <v>4925</v>
      </c>
      <c r="G279" s="7"/>
    </row>
    <row r="280" spans="1:7" ht="15.9" customHeight="1">
      <c r="A280" s="6">
        <v>276</v>
      </c>
      <c r="B280" s="3" t="str">
        <f>HYPERLINK("https://www.hogrefe.com/ch/zeitschrift/geropsych","GeroPsych-The Journal of Gerontopsychology and Geriatric Psychiatry")</f>
        <v>GeroPsych-The Journal of Gerontopsychology and Geriatric Psychiatry</v>
      </c>
      <c r="C280" s="10">
        <v>0.8</v>
      </c>
      <c r="D280" s="3" t="s">
        <v>4367</v>
      </c>
      <c r="E280" s="19">
        <v>4</v>
      </c>
      <c r="F280" s="20" t="s">
        <v>4925</v>
      </c>
      <c r="G280" s="7"/>
    </row>
    <row r="281" spans="1:7" ht="15.9" customHeight="1">
      <c r="A281" s="6">
        <v>277</v>
      </c>
      <c r="B281" s="3" t="str">
        <f>HYPERLINK("https://www.sciencedirect.com/journal/npg-neurologie-psychiatrie-geriatrie","NPG Neurology - Psychiatry - Geriatrics")</f>
        <v>NPG Neurology - Psychiatry - Geriatrics</v>
      </c>
      <c r="C281" s="10">
        <v>0.6</v>
      </c>
      <c r="D281" s="3" t="s">
        <v>4991</v>
      </c>
      <c r="E281" s="19">
        <v>4</v>
      </c>
      <c r="F281" s="20" t="s">
        <v>4925</v>
      </c>
      <c r="G281" s="7"/>
    </row>
    <row r="282" spans="1:7" ht="15.9" customHeight="1">
      <c r="A282" s="6">
        <v>278</v>
      </c>
      <c r="B282" s="3" t="str">
        <f>HYPERLINK("https://www.heraldopenaccess.us/journals/journal-of-alzheimers-neurodegenerative-diseases","Journal of Alzheimer’s &amp; Neurodegenerative Diseases")</f>
        <v>Journal of Alzheimer’s &amp; Neurodegenerative Diseases</v>
      </c>
      <c r="C282" s="10">
        <v>0.51</v>
      </c>
      <c r="D282" s="3" t="s">
        <v>4372</v>
      </c>
      <c r="E282" s="19">
        <v>6</v>
      </c>
      <c r="F282" s="20" t="s">
        <v>4335</v>
      </c>
      <c r="G282" s="7"/>
    </row>
    <row r="283" spans="1:7" ht="15.9" customHeight="1">
      <c r="A283" s="6">
        <v>279</v>
      </c>
      <c r="B283" s="3" t="str">
        <f>HYPERLINK("https://journals.lww.com/topicsingeriatricrehabilitation/pages/default.aspx","​​​​Topics in Geriatric Rehabilitation")</f>
        <v>​​​​Topics in Geriatric Rehabilitation</v>
      </c>
      <c r="C283" s="10">
        <v>0.5</v>
      </c>
      <c r="D283" s="3" t="s">
        <v>4358</v>
      </c>
      <c r="E283" s="19">
        <v>9</v>
      </c>
      <c r="F283" s="20" t="s">
        <v>4925</v>
      </c>
      <c r="G283" s="7"/>
    </row>
    <row r="284" spans="1:7" ht="15.9" customHeight="1">
      <c r="A284" s="6">
        <v>280</v>
      </c>
      <c r="B284" s="3" t="str">
        <f>HYPERLINK("https://www.tandfonline.com/journals/ipog20","Physical &amp; Occupational Therapy In Geriatrics")</f>
        <v>Physical &amp; Occupational Therapy In Geriatrics</v>
      </c>
      <c r="C284" s="10">
        <v>0.3</v>
      </c>
      <c r="D284" s="3" t="s">
        <v>4348</v>
      </c>
      <c r="E284" s="19">
        <v>9</v>
      </c>
      <c r="F284" s="20" t="s">
        <v>4925</v>
      </c>
      <c r="G284" s="7"/>
    </row>
    <row r="285" spans="1:7" ht="15.9" customHeight="1">
      <c r="A285" s="6">
        <v>281</v>
      </c>
      <c r="B285" s="3" t="str">
        <f>HYPERLINK("https://onlinelibrary.wiley.com/journal/3035","Current Gerontology and Geriatrics Research")</f>
        <v>Current Gerontology and Geriatrics Research</v>
      </c>
      <c r="C285" s="10">
        <v>0.16</v>
      </c>
      <c r="D285" s="3" t="s">
        <v>4992</v>
      </c>
      <c r="E285" s="19">
        <v>9</v>
      </c>
      <c r="F285" s="20" t="s">
        <v>4925</v>
      </c>
      <c r="G285" s="7"/>
    </row>
    <row r="286" spans="1:7" ht="15.9" customHeight="1">
      <c r="A286" s="6">
        <v>282</v>
      </c>
      <c r="B286" s="3" t="str">
        <f>HYPERLINK("https://www.jstage.jst.go.jp/browse/geriatrics/-char/en","Japanese Journal of Geriatrics")</f>
        <v>Japanese Journal of Geriatrics</v>
      </c>
      <c r="C286" s="10">
        <v>0.16</v>
      </c>
      <c r="D286" s="3" t="s">
        <v>4993</v>
      </c>
      <c r="E286" s="19">
        <v>9</v>
      </c>
      <c r="F286" s="20" t="s">
        <v>4925</v>
      </c>
      <c r="G286" s="7"/>
    </row>
    <row r="287" spans="1:7" ht="15.9" customHeight="1">
      <c r="A287" s="6">
        <v>283</v>
      </c>
      <c r="B287" s="3" t="str">
        <f>HYPERLINK("https://scholars.direct/journal.php?jid=alzheimers-disease-and-dementia","Alzheimer's Disease &amp; Dementia")</f>
        <v>Alzheimer's Disease &amp; Dementia</v>
      </c>
      <c r="C287" s="10" t="s">
        <v>728</v>
      </c>
      <c r="D287" s="3" t="s">
        <v>4369</v>
      </c>
      <c r="E287" s="19">
        <v>6</v>
      </c>
      <c r="F287" s="20" t="s">
        <v>4335</v>
      </c>
      <c r="G287" s="7"/>
    </row>
    <row r="288" spans="1:7" ht="15.9" customHeight="1">
      <c r="A288" s="6">
        <v>284</v>
      </c>
      <c r="B288" s="3" t="str">
        <f>HYPERLINK("https://www.jle.com/fr/revues/gpn/revue.phtml","Geriatrics &amp; Psychology Neuropsychiatry of Aging")</f>
        <v>Geriatrics &amp; Psychology Neuropsychiatry of Aging</v>
      </c>
      <c r="C288" s="10" t="s">
        <v>728</v>
      </c>
      <c r="D288" s="3" t="s">
        <v>4959</v>
      </c>
      <c r="E288" s="19">
        <v>3</v>
      </c>
      <c r="F288" s="20" t="s">
        <v>4325</v>
      </c>
      <c r="G288" s="7"/>
    </row>
    <row r="289" spans="1:7" ht="15.9" customHeight="1">
      <c r="A289" s="6">
        <v>285</v>
      </c>
      <c r="B289" s="3" t="str">
        <f>HYPERLINK("https://www.opastpublishers.com/journal/international-journal-of-alzheimers-disease-research","International Journal of Alzheimer's Disease Research")</f>
        <v>International Journal of Alzheimer's Disease Research</v>
      </c>
      <c r="C289" s="10" t="s">
        <v>728</v>
      </c>
      <c r="D289" s="3" t="s">
        <v>4370</v>
      </c>
      <c r="E289" s="19">
        <v>6</v>
      </c>
      <c r="F289" s="20" t="s">
        <v>4335</v>
      </c>
      <c r="G289" s="7"/>
    </row>
    <row r="290" spans="1:7" ht="15.9" customHeight="1">
      <c r="A290" s="6">
        <v>286</v>
      </c>
      <c r="B290" s="3" t="str">
        <f>HYPERLINK("https://www.annexpublishers.com/journals/journal-of-alzheimers-disease-and-research/jhome.php","Journal of Alzheimers Disease &amp; Research")</f>
        <v>Journal of Alzheimers Disease &amp; Research</v>
      </c>
      <c r="C290" s="10" t="s">
        <v>728</v>
      </c>
      <c r="D290" s="3" t="s">
        <v>4368</v>
      </c>
      <c r="E290" s="19">
        <v>6</v>
      </c>
      <c r="F290" s="20" t="s">
        <v>4335</v>
      </c>
      <c r="G290" s="7"/>
    </row>
    <row r="291" spans="1:7" ht="15.9" customHeight="1">
      <c r="A291" s="6">
        <v>287</v>
      </c>
      <c r="B291" s="3" t="str">
        <f>HYPERLINK("https://www.iospress.com/catalog/journals/journal-of-alzheimers-disease-reports#aims-scope","Journal of Alzheimers Disease Reports")</f>
        <v>Journal of Alzheimers Disease Reports</v>
      </c>
      <c r="C291" s="10" t="s">
        <v>728</v>
      </c>
      <c r="D291" s="3" t="s">
        <v>4338</v>
      </c>
      <c r="E291" s="19">
        <v>6</v>
      </c>
      <c r="F291" s="20" t="s">
        <v>4335</v>
      </c>
      <c r="G291" s="7"/>
    </row>
    <row r="292" spans="1:7" ht="15.9" customHeight="1">
      <c r="A292" s="6">
        <v>288</v>
      </c>
      <c r="B292" s="3" t="str">
        <f>HYPERLINK("https://www.jgerontology-geriatrics.com/index","Journal of Gerontology and Geriatrics")</f>
        <v>Journal of Gerontology and Geriatrics</v>
      </c>
      <c r="C292" s="10" t="s">
        <v>728</v>
      </c>
      <c r="D292" s="3" t="s">
        <v>4349</v>
      </c>
      <c r="E292" s="19">
        <v>9</v>
      </c>
      <c r="F292" s="20" t="s">
        <v>4925</v>
      </c>
      <c r="G292" s="7"/>
    </row>
  </sheetData>
  <autoFilter ref="A4:G292" xr:uid="{00000000-0009-0000-0000-000000000000}"/>
  <sortState xmlns:xlrd2="http://schemas.microsoft.com/office/spreadsheetml/2017/richdata2" ref="A5:G286">
    <sortCondition descending="1" ref="C5:C286"/>
    <sortCondition ref="B5:B286"/>
  </sortState>
  <mergeCells count="2">
    <mergeCell ref="A1:G1"/>
    <mergeCell ref="A2:G3"/>
  </mergeCells>
  <hyperlinks>
    <hyperlink ref="D6" r:id="rId1" xr:uid="{00000000-0004-0000-0000-000000000000}"/>
    <hyperlink ref="D5" r:id="rId2" xr:uid="{00000000-0004-0000-0000-000001000000}"/>
    <hyperlink ref="D11" r:id="rId3" xr:uid="{00000000-0004-0000-0000-000002000000}"/>
    <hyperlink ref="D13" r:id="rId4" xr:uid="{00000000-0004-0000-0000-000003000000}"/>
    <hyperlink ref="D8" r:id="rId5" xr:uid="{00000000-0004-0000-0000-000004000000}"/>
    <hyperlink ref="D7" r:id="rId6" xr:uid="{00000000-0004-0000-0000-000005000000}"/>
    <hyperlink ref="D22" r:id="rId7" xr:uid="{00000000-0004-0000-0000-000006000000}"/>
    <hyperlink ref="D17" r:id="rId8" xr:uid="{00000000-0004-0000-0000-000007000000}"/>
    <hyperlink ref="D31" r:id="rId9" xr:uid="{00000000-0004-0000-0000-000008000000}"/>
    <hyperlink ref="D33" r:id="rId10" xr:uid="{00000000-0004-0000-0000-000009000000}"/>
    <hyperlink ref="D37" r:id="rId11" xr:uid="{00000000-0004-0000-0000-00000A000000}"/>
    <hyperlink ref="D9" r:id="rId12" xr:uid="{00000000-0004-0000-0000-00000B000000}"/>
    <hyperlink ref="D242" r:id="rId13" xr:uid="{00000000-0004-0000-0000-00000C000000}"/>
    <hyperlink ref="D10" r:id="rId14" xr:uid="{00000000-0004-0000-0000-00000D000000}"/>
    <hyperlink ref="D12" r:id="rId15" xr:uid="{00000000-0004-0000-0000-00000E000000}"/>
    <hyperlink ref="D15" r:id="rId16" xr:uid="{00000000-0004-0000-0000-00000F000000}"/>
    <hyperlink ref="D16" r:id="rId17" xr:uid="{00000000-0004-0000-0000-000010000000}"/>
    <hyperlink ref="D18" r:id="rId18" xr:uid="{00000000-0004-0000-0000-000011000000}"/>
    <hyperlink ref="D19" r:id="rId19" xr:uid="{00000000-0004-0000-0000-000012000000}"/>
    <hyperlink ref="D20" r:id="rId20" xr:uid="{00000000-0004-0000-0000-000013000000}"/>
    <hyperlink ref="D21" r:id="rId21" xr:uid="{00000000-0004-0000-0000-000014000000}"/>
    <hyperlink ref="D23" r:id="rId22" xr:uid="{00000000-0004-0000-0000-000015000000}"/>
    <hyperlink ref="D24" r:id="rId23" xr:uid="{00000000-0004-0000-0000-000016000000}"/>
    <hyperlink ref="D25" r:id="rId24" xr:uid="{00000000-0004-0000-0000-000017000000}"/>
    <hyperlink ref="D26" r:id="rId25" xr:uid="{00000000-0004-0000-0000-000018000000}"/>
    <hyperlink ref="D27" r:id="rId26" xr:uid="{00000000-0004-0000-0000-000019000000}"/>
    <hyperlink ref="D30" r:id="rId27" xr:uid="{00000000-0004-0000-0000-00001A000000}"/>
    <hyperlink ref="D32" r:id="rId28" xr:uid="{00000000-0004-0000-0000-00001B000000}"/>
    <hyperlink ref="D34" r:id="rId29" xr:uid="{00000000-0004-0000-0000-00001C000000}"/>
    <hyperlink ref="D36" r:id="rId30" xr:uid="{00000000-0004-0000-0000-00001D000000}"/>
    <hyperlink ref="D38" r:id="rId31" xr:uid="{00000000-0004-0000-0000-00001E000000}"/>
    <hyperlink ref="D39" r:id="rId32" xr:uid="{00000000-0004-0000-0000-00001F000000}"/>
    <hyperlink ref="D40" r:id="rId33" xr:uid="{00000000-0004-0000-0000-000020000000}"/>
    <hyperlink ref="D41" r:id="rId34" xr:uid="{00000000-0004-0000-0000-000021000000}"/>
    <hyperlink ref="D43" r:id="rId35" xr:uid="{00000000-0004-0000-0000-000022000000}"/>
    <hyperlink ref="D45" r:id="rId36" xr:uid="{00000000-0004-0000-0000-000023000000}"/>
    <hyperlink ref="D46" r:id="rId37" xr:uid="{00000000-0004-0000-0000-000024000000}"/>
    <hyperlink ref="D47" r:id="rId38" xr:uid="{00000000-0004-0000-0000-000025000000}"/>
    <hyperlink ref="D48" r:id="rId39" xr:uid="{00000000-0004-0000-0000-000026000000}"/>
    <hyperlink ref="D49" r:id="rId40" xr:uid="{00000000-0004-0000-0000-000027000000}"/>
    <hyperlink ref="D52" r:id="rId41" xr:uid="{00000000-0004-0000-0000-000028000000}"/>
    <hyperlink ref="D53" r:id="rId42" xr:uid="{00000000-0004-0000-0000-000029000000}"/>
    <hyperlink ref="D54" r:id="rId43" xr:uid="{00000000-0004-0000-0000-00002A000000}"/>
    <hyperlink ref="D55" r:id="rId44" xr:uid="{00000000-0004-0000-0000-00002B000000}"/>
    <hyperlink ref="D56" r:id="rId45" xr:uid="{00000000-0004-0000-0000-00002C000000}"/>
    <hyperlink ref="D57" r:id="rId46" xr:uid="{00000000-0004-0000-0000-00002D000000}"/>
    <hyperlink ref="D59" r:id="rId47" xr:uid="{00000000-0004-0000-0000-00002E000000}"/>
    <hyperlink ref="D60" r:id="rId48" xr:uid="{00000000-0004-0000-0000-00002F000000}"/>
    <hyperlink ref="D61" r:id="rId49" xr:uid="{00000000-0004-0000-0000-000030000000}"/>
    <hyperlink ref="D62" r:id="rId50" xr:uid="{00000000-0004-0000-0000-000031000000}"/>
    <hyperlink ref="D64" r:id="rId51" xr:uid="{00000000-0004-0000-0000-000032000000}"/>
    <hyperlink ref="D63" r:id="rId52" xr:uid="{00000000-0004-0000-0000-000033000000}"/>
    <hyperlink ref="D65" r:id="rId53" xr:uid="{00000000-0004-0000-0000-000034000000}"/>
    <hyperlink ref="D68" r:id="rId54" xr:uid="{00000000-0004-0000-0000-000035000000}"/>
    <hyperlink ref="D71" r:id="rId55" xr:uid="{00000000-0004-0000-0000-000036000000}"/>
    <hyperlink ref="D70" r:id="rId56" xr:uid="{00000000-0004-0000-0000-000037000000}"/>
    <hyperlink ref="D69" r:id="rId57" xr:uid="{00000000-0004-0000-0000-000038000000}"/>
    <hyperlink ref="D72" r:id="rId58" xr:uid="{00000000-0004-0000-0000-000039000000}"/>
    <hyperlink ref="D74" r:id="rId59" xr:uid="{00000000-0004-0000-0000-00003A000000}"/>
    <hyperlink ref="D78" r:id="rId60" xr:uid="{00000000-0004-0000-0000-00003B000000}"/>
    <hyperlink ref="D79" r:id="rId61" xr:uid="{00000000-0004-0000-0000-00003C000000}"/>
    <hyperlink ref="D77" r:id="rId62" xr:uid="{00000000-0004-0000-0000-00003D000000}"/>
    <hyperlink ref="D76" r:id="rId63" xr:uid="{00000000-0004-0000-0000-00003E000000}"/>
    <hyperlink ref="D81" r:id="rId64" xr:uid="{00000000-0004-0000-0000-00003F000000}"/>
    <hyperlink ref="D84" r:id="rId65" xr:uid="{00000000-0004-0000-0000-000040000000}"/>
    <hyperlink ref="D83" r:id="rId66" xr:uid="{00000000-0004-0000-0000-000041000000}"/>
    <hyperlink ref="D82" r:id="rId67" xr:uid="{00000000-0004-0000-0000-000042000000}"/>
    <hyperlink ref="D87" r:id="rId68" xr:uid="{00000000-0004-0000-0000-000043000000}"/>
    <hyperlink ref="D86" r:id="rId69" xr:uid="{00000000-0004-0000-0000-000044000000}"/>
    <hyperlink ref="D90" r:id="rId70" xr:uid="{00000000-0004-0000-0000-000045000000}"/>
    <hyperlink ref="D88" r:id="rId71" xr:uid="{00000000-0004-0000-0000-000046000000}"/>
    <hyperlink ref="D89" r:id="rId72" xr:uid="{00000000-0004-0000-0000-000047000000}"/>
    <hyperlink ref="D91" r:id="rId73" xr:uid="{00000000-0004-0000-0000-000048000000}"/>
    <hyperlink ref="D95" r:id="rId74" xr:uid="{00000000-0004-0000-0000-000049000000}"/>
    <hyperlink ref="D94" r:id="rId75" xr:uid="{00000000-0004-0000-0000-00004A000000}"/>
    <hyperlink ref="D97" r:id="rId76" xr:uid="{00000000-0004-0000-0000-00004B000000}"/>
    <hyperlink ref="D98" r:id="rId77" xr:uid="{00000000-0004-0000-0000-00004C000000}"/>
    <hyperlink ref="D96" r:id="rId78" xr:uid="{00000000-0004-0000-0000-00004D000000}"/>
    <hyperlink ref="D99" r:id="rId79" xr:uid="{00000000-0004-0000-0000-00004E000000}"/>
    <hyperlink ref="D101" r:id="rId80" xr:uid="{00000000-0004-0000-0000-00004F000000}"/>
    <hyperlink ref="D102" r:id="rId81" xr:uid="{00000000-0004-0000-0000-000050000000}"/>
    <hyperlink ref="D105" r:id="rId82" xr:uid="{00000000-0004-0000-0000-000051000000}"/>
    <hyperlink ref="D103" r:id="rId83" xr:uid="{00000000-0004-0000-0000-000052000000}"/>
    <hyperlink ref="D104" r:id="rId84" xr:uid="{00000000-0004-0000-0000-000053000000}"/>
    <hyperlink ref="D106" r:id="rId85" xr:uid="{00000000-0004-0000-0000-000054000000}"/>
    <hyperlink ref="D107" r:id="rId86" xr:uid="{00000000-0004-0000-0000-000055000000}"/>
    <hyperlink ref="D108" r:id="rId87" xr:uid="{00000000-0004-0000-0000-000056000000}"/>
    <hyperlink ref="D109" r:id="rId88" xr:uid="{00000000-0004-0000-0000-000057000000}"/>
    <hyperlink ref="D112" r:id="rId89" xr:uid="{00000000-0004-0000-0000-000058000000}"/>
    <hyperlink ref="D114" r:id="rId90" xr:uid="{00000000-0004-0000-0000-000059000000}"/>
    <hyperlink ref="D118" r:id="rId91" xr:uid="{00000000-0004-0000-0000-00005A000000}"/>
    <hyperlink ref="D119" r:id="rId92" xr:uid="{00000000-0004-0000-0000-00005B000000}"/>
    <hyperlink ref="D116" r:id="rId93" xr:uid="{00000000-0004-0000-0000-00005C000000}"/>
    <hyperlink ref="D117" r:id="rId94" xr:uid="{00000000-0004-0000-0000-00005D000000}"/>
    <hyperlink ref="D121" r:id="rId95" xr:uid="{00000000-0004-0000-0000-00005E000000}"/>
    <hyperlink ref="D127" r:id="rId96" xr:uid="{00000000-0004-0000-0000-00005F000000}"/>
    <hyperlink ref="D126" r:id="rId97" xr:uid="{00000000-0004-0000-0000-000060000000}"/>
    <hyperlink ref="D124" r:id="rId98" xr:uid="{00000000-0004-0000-0000-000061000000}"/>
    <hyperlink ref="D130" r:id="rId99" xr:uid="{00000000-0004-0000-0000-000062000000}"/>
    <hyperlink ref="D131" r:id="rId100" xr:uid="{00000000-0004-0000-0000-000063000000}"/>
    <hyperlink ref="D133" r:id="rId101" xr:uid="{00000000-0004-0000-0000-000064000000}"/>
    <hyperlink ref="D132" r:id="rId102" xr:uid="{00000000-0004-0000-0000-000065000000}"/>
    <hyperlink ref="D135" r:id="rId103" xr:uid="{00000000-0004-0000-0000-000066000000}"/>
    <hyperlink ref="D141" r:id="rId104" xr:uid="{00000000-0004-0000-0000-000067000000}"/>
    <hyperlink ref="D136" r:id="rId105" xr:uid="{00000000-0004-0000-0000-000068000000}"/>
    <hyperlink ref="D139" r:id="rId106" xr:uid="{00000000-0004-0000-0000-000069000000}"/>
    <hyperlink ref="D138" r:id="rId107" xr:uid="{00000000-0004-0000-0000-00006A000000}"/>
    <hyperlink ref="D143" r:id="rId108" xr:uid="{00000000-0004-0000-0000-00006B000000}"/>
    <hyperlink ref="D145" r:id="rId109" xr:uid="{00000000-0004-0000-0000-00006C000000}"/>
    <hyperlink ref="D144" r:id="rId110" xr:uid="{00000000-0004-0000-0000-00006D000000}"/>
    <hyperlink ref="D140" r:id="rId111" xr:uid="{00000000-0004-0000-0000-00006E000000}"/>
    <hyperlink ref="D142" r:id="rId112" xr:uid="{00000000-0004-0000-0000-00006F000000}"/>
    <hyperlink ref="D137" r:id="rId113" xr:uid="{00000000-0004-0000-0000-000070000000}"/>
    <hyperlink ref="D150" r:id="rId114" xr:uid="{00000000-0004-0000-0000-000071000000}"/>
    <hyperlink ref="D151" r:id="rId115" xr:uid="{00000000-0004-0000-0000-000072000000}"/>
    <hyperlink ref="D149" r:id="rId116" xr:uid="{00000000-0004-0000-0000-000073000000}"/>
    <hyperlink ref="D148" r:id="rId117" xr:uid="{00000000-0004-0000-0000-000074000000}"/>
    <hyperlink ref="D152" r:id="rId118" xr:uid="{00000000-0004-0000-0000-000075000000}"/>
    <hyperlink ref="D146" r:id="rId119" xr:uid="{00000000-0004-0000-0000-000076000000}"/>
    <hyperlink ref="D153" r:id="rId120" xr:uid="{00000000-0004-0000-0000-000077000000}"/>
    <hyperlink ref="D157" r:id="rId121" location="aims-and-scope" display="https://www.tandfonline.com/journals/iwbp20/about-this-journal - aims-and-scope" xr:uid="{00000000-0004-0000-0000-000078000000}"/>
    <hyperlink ref="D156" r:id="rId122" xr:uid="{00000000-0004-0000-0000-000079000000}"/>
    <hyperlink ref="D155" r:id="rId123" xr:uid="{00000000-0004-0000-0000-00007A000000}"/>
    <hyperlink ref="D154" r:id="rId124" xr:uid="{00000000-0004-0000-0000-00007B000000}"/>
    <hyperlink ref="D159" r:id="rId125" xr:uid="{00000000-0004-0000-0000-00007C000000}"/>
    <hyperlink ref="D158" r:id="rId126" xr:uid="{00000000-0004-0000-0000-00007D000000}"/>
    <hyperlink ref="D162" r:id="rId127" xr:uid="{00000000-0004-0000-0000-00007E000000}"/>
    <hyperlink ref="D160" r:id="rId128" xr:uid="{00000000-0004-0000-0000-00007F000000}"/>
    <hyperlink ref="D161" r:id="rId129" xr:uid="{00000000-0004-0000-0000-000080000000}"/>
    <hyperlink ref="D163" r:id="rId130" xr:uid="{00000000-0004-0000-0000-000081000000}"/>
    <hyperlink ref="D164" r:id="rId131" xr:uid="{00000000-0004-0000-0000-000082000000}"/>
    <hyperlink ref="D165" r:id="rId132" xr:uid="{00000000-0004-0000-0000-000083000000}"/>
    <hyperlink ref="D175" r:id="rId133" xr:uid="{00000000-0004-0000-0000-000084000000}"/>
    <hyperlink ref="D168" r:id="rId134" xr:uid="{00000000-0004-0000-0000-000085000000}"/>
    <hyperlink ref="D172" r:id="rId135" xr:uid="{00000000-0004-0000-0000-000086000000}"/>
    <hyperlink ref="D173" r:id="rId136" xr:uid="{00000000-0004-0000-0000-000087000000}"/>
    <hyperlink ref="D169" r:id="rId137" xr:uid="{00000000-0004-0000-0000-000088000000}"/>
    <hyperlink ref="D171" r:id="rId138" xr:uid="{00000000-0004-0000-0000-000089000000}"/>
    <hyperlink ref="D167" r:id="rId139" xr:uid="{00000000-0004-0000-0000-00008A000000}"/>
    <hyperlink ref="D170" r:id="rId140" xr:uid="{00000000-0004-0000-0000-00008B000000}"/>
    <hyperlink ref="D174" r:id="rId141" xr:uid="{00000000-0004-0000-0000-00008C000000}"/>
    <hyperlink ref="D177" r:id="rId142" xr:uid="{00000000-0004-0000-0000-00008D000000}"/>
    <hyperlink ref="D185" r:id="rId143" xr:uid="{00000000-0004-0000-0000-00008E000000}"/>
    <hyperlink ref="D187" r:id="rId144" xr:uid="{00000000-0004-0000-0000-00008F000000}"/>
    <hyperlink ref="D186" r:id="rId145" xr:uid="{00000000-0004-0000-0000-000090000000}"/>
    <hyperlink ref="D182" r:id="rId146" xr:uid="{00000000-0004-0000-0000-000091000000}"/>
    <hyperlink ref="D179" r:id="rId147" xr:uid="{00000000-0004-0000-0000-000092000000}"/>
    <hyperlink ref="D184" r:id="rId148" xr:uid="{00000000-0004-0000-0000-000093000000}"/>
    <hyperlink ref="D180" r:id="rId149" xr:uid="{00000000-0004-0000-0000-000094000000}"/>
    <hyperlink ref="D181" r:id="rId150" xr:uid="{00000000-0004-0000-0000-000095000000}"/>
    <hyperlink ref="D183" r:id="rId151" xr:uid="{00000000-0004-0000-0000-000096000000}"/>
    <hyperlink ref="D194" r:id="rId152" xr:uid="{00000000-0004-0000-0000-000097000000}"/>
    <hyperlink ref="D192" r:id="rId153" xr:uid="{00000000-0004-0000-0000-000098000000}"/>
    <hyperlink ref="D191" r:id="rId154" xr:uid="{00000000-0004-0000-0000-000099000000}"/>
    <hyperlink ref="D195" r:id="rId155" xr:uid="{00000000-0004-0000-0000-00009A000000}"/>
    <hyperlink ref="D190" r:id="rId156" xr:uid="{00000000-0004-0000-0000-00009B000000}"/>
    <hyperlink ref="D189" r:id="rId157" xr:uid="{00000000-0004-0000-0000-00009C000000}"/>
    <hyperlink ref="D193" r:id="rId158" xr:uid="{00000000-0004-0000-0000-00009D000000}"/>
    <hyperlink ref="D204" r:id="rId159" xr:uid="{00000000-0004-0000-0000-00009E000000}"/>
    <hyperlink ref="D200" r:id="rId160" xr:uid="{00000000-0004-0000-0000-00009F000000}"/>
    <hyperlink ref="D203" r:id="rId161" xr:uid="{00000000-0004-0000-0000-0000A0000000}"/>
    <hyperlink ref="D202" r:id="rId162" xr:uid="{00000000-0004-0000-0000-0000A1000000}"/>
    <hyperlink ref="D197" r:id="rId163" xr:uid="{00000000-0004-0000-0000-0000A2000000}"/>
    <hyperlink ref="D196" r:id="rId164" xr:uid="{00000000-0004-0000-0000-0000A3000000}"/>
    <hyperlink ref="D201" r:id="rId165" xr:uid="{00000000-0004-0000-0000-0000A4000000}"/>
    <hyperlink ref="D206" r:id="rId166" xr:uid="{00000000-0004-0000-0000-0000A5000000}"/>
    <hyperlink ref="D215" r:id="rId167" xr:uid="{00000000-0004-0000-0000-0000A6000000}"/>
    <hyperlink ref="D212" r:id="rId168" xr:uid="{00000000-0004-0000-0000-0000A7000000}"/>
    <hyperlink ref="D208" r:id="rId169" xr:uid="{00000000-0004-0000-0000-0000A8000000}"/>
    <hyperlink ref="D211" r:id="rId170" xr:uid="{00000000-0004-0000-0000-0000A9000000}"/>
    <hyperlink ref="D214" r:id="rId171" xr:uid="{00000000-0004-0000-0000-0000AA000000}"/>
    <hyperlink ref="D213" r:id="rId172" xr:uid="{00000000-0004-0000-0000-0000AB000000}"/>
    <hyperlink ref="D216" r:id="rId173" xr:uid="{00000000-0004-0000-0000-0000AC000000}"/>
    <hyperlink ref="D210" r:id="rId174" xr:uid="{00000000-0004-0000-0000-0000AD000000}"/>
    <hyperlink ref="D209" r:id="rId175" xr:uid="{00000000-0004-0000-0000-0000AE000000}"/>
    <hyperlink ref="D220" r:id="rId176" xr:uid="{00000000-0004-0000-0000-0000AF000000}"/>
    <hyperlink ref="D225" r:id="rId177" xr:uid="{00000000-0004-0000-0000-0000B0000000}"/>
    <hyperlink ref="D223" r:id="rId178" xr:uid="{00000000-0004-0000-0000-0000B1000000}"/>
    <hyperlink ref="D224" r:id="rId179" xr:uid="{00000000-0004-0000-0000-0000B2000000}"/>
    <hyperlink ref="D218" r:id="rId180" xr:uid="{00000000-0004-0000-0000-0000B3000000}"/>
    <hyperlink ref="D226" r:id="rId181" xr:uid="{00000000-0004-0000-0000-0000B4000000}"/>
    <hyperlink ref="D230" r:id="rId182" xr:uid="{00000000-0004-0000-0000-0000B5000000}"/>
    <hyperlink ref="D228" r:id="rId183" xr:uid="{00000000-0004-0000-0000-0000B6000000}"/>
    <hyperlink ref="D227" r:id="rId184" xr:uid="{00000000-0004-0000-0000-0000B7000000}"/>
    <hyperlink ref="D231" r:id="rId185" xr:uid="{00000000-0004-0000-0000-0000B8000000}"/>
    <hyperlink ref="D232" r:id="rId186" xr:uid="{00000000-0004-0000-0000-0000B9000000}"/>
    <hyperlink ref="D229" r:id="rId187" xr:uid="{00000000-0004-0000-0000-0000BA000000}"/>
    <hyperlink ref="D239" r:id="rId188" xr:uid="{00000000-0004-0000-0000-0000BB000000}"/>
    <hyperlink ref="D235" r:id="rId189" xr:uid="{00000000-0004-0000-0000-0000BC000000}"/>
    <hyperlink ref="D237" r:id="rId190" xr:uid="{00000000-0004-0000-0000-0000BD000000}"/>
    <hyperlink ref="D236" r:id="rId191" xr:uid="{00000000-0004-0000-0000-0000BE000000}"/>
    <hyperlink ref="D234" r:id="rId192" xr:uid="{00000000-0004-0000-0000-0000BF000000}"/>
    <hyperlink ref="D238" r:id="rId193" xr:uid="{00000000-0004-0000-0000-0000C0000000}"/>
    <hyperlink ref="D240" r:id="rId194" xr:uid="{00000000-0004-0000-0000-0000C1000000}"/>
    <hyperlink ref="D243" r:id="rId195" xr:uid="{00000000-0004-0000-0000-0000C2000000}"/>
    <hyperlink ref="D245" r:id="rId196" xr:uid="{00000000-0004-0000-0000-0000C3000000}"/>
    <hyperlink ref="D246" r:id="rId197" xr:uid="{00000000-0004-0000-0000-0000C4000000}"/>
    <hyperlink ref="D249" r:id="rId198" xr:uid="{00000000-0004-0000-0000-0000C5000000}"/>
    <hyperlink ref="D257" r:id="rId199" xr:uid="{00000000-0004-0000-0000-0000C6000000}"/>
    <hyperlink ref="D256" r:id="rId200" xr:uid="{00000000-0004-0000-0000-0000C7000000}"/>
    <hyperlink ref="D254" r:id="rId201" xr:uid="{00000000-0004-0000-0000-0000C8000000}"/>
    <hyperlink ref="D252" r:id="rId202" xr:uid="{00000000-0004-0000-0000-0000C9000000}"/>
    <hyperlink ref="D258" r:id="rId203" location="aims-and-scope" display="https://www.tandfonline.com/journals/pcnp20/about-this-journal - aims-and-scope" xr:uid="{00000000-0004-0000-0000-0000CA000000}"/>
    <hyperlink ref="D264" r:id="rId204" xr:uid="{00000000-0004-0000-0000-0000CB000000}"/>
    <hyperlink ref="D260" r:id="rId205" xr:uid="{00000000-0004-0000-0000-0000CC000000}"/>
    <hyperlink ref="D261" r:id="rId206" xr:uid="{00000000-0004-0000-0000-0000CD000000}"/>
    <hyperlink ref="D267" r:id="rId207" xr:uid="{00000000-0004-0000-0000-0000CE000000}"/>
    <hyperlink ref="D268" r:id="rId208" location="journal_aims_scope" display="https://www.emeraldgrouppublishing.com/journal/amhid - journal_aims_scope" xr:uid="{00000000-0004-0000-0000-0000CF000000}"/>
    <hyperlink ref="D270" r:id="rId209" xr:uid="{00000000-0004-0000-0000-0000D0000000}"/>
    <hyperlink ref="D276" r:id="rId210" xr:uid="{00000000-0004-0000-0000-0000D1000000}"/>
    <hyperlink ref="D277" r:id="rId211" xr:uid="{00000000-0004-0000-0000-0000D2000000}"/>
    <hyperlink ref="D278" r:id="rId212" xr:uid="{00000000-0004-0000-0000-0000D3000000}"/>
    <hyperlink ref="D75" r:id="rId213" xr:uid="{00000000-0004-0000-0000-0000D4000000}"/>
    <hyperlink ref="D100" r:id="rId214" xr:uid="{00000000-0004-0000-0000-0000D5000000}"/>
    <hyperlink ref="D291" r:id="rId215" location="aims-scope" xr:uid="{00000000-0004-0000-0000-0000D6000000}"/>
    <hyperlink ref="D29" r:id="rId216" xr:uid="{00000000-0004-0000-0000-0000D7000000}"/>
    <hyperlink ref="D42" r:id="rId217" xr:uid="{00000000-0004-0000-0000-0000D8000000}"/>
    <hyperlink ref="D129" r:id="rId218" xr:uid="{00000000-0004-0000-0000-0000D9000000}"/>
    <hyperlink ref="D244" r:id="rId219" xr:uid="{00000000-0004-0000-0000-0000DA000000}"/>
    <hyperlink ref="D166" r:id="rId220" xr:uid="{00000000-0004-0000-0000-0000DB000000}"/>
    <hyperlink ref="D205" r:id="rId221" xr:uid="{00000000-0004-0000-0000-0000DC000000}"/>
    <hyperlink ref="D44" r:id="rId222" xr:uid="{00000000-0004-0000-0000-0000DD000000}"/>
    <hyperlink ref="D92" r:id="rId223" xr:uid="{00000000-0004-0000-0000-0000DE000000}"/>
    <hyperlink ref="D50" r:id="rId224" xr:uid="{00000000-0004-0000-0000-0000DF000000}"/>
    <hyperlink ref="D284" r:id="rId225" xr:uid="{00000000-0004-0000-0000-0000E0000000}"/>
    <hyperlink ref="D292" r:id="rId226" xr:uid="{00000000-0004-0000-0000-0000E1000000}"/>
    <hyperlink ref="D279" r:id="rId227" xr:uid="{00000000-0004-0000-0000-0000E2000000}"/>
    <hyperlink ref="D253" r:id="rId228" xr:uid="{00000000-0004-0000-0000-0000E3000000}"/>
    <hyperlink ref="D272" r:id="rId229" xr:uid="{00000000-0004-0000-0000-0000E4000000}"/>
    <hyperlink ref="D198" r:id="rId230" xr:uid="{00000000-0004-0000-0000-0000E5000000}"/>
    <hyperlink ref="D120" r:id="rId231" xr:uid="{00000000-0004-0000-0000-0000E6000000}"/>
    <hyperlink ref="D125" r:id="rId232" xr:uid="{00000000-0004-0000-0000-0000E7000000}"/>
    <hyperlink ref="D199" r:id="rId233" xr:uid="{00000000-0004-0000-0000-0000E8000000}"/>
    <hyperlink ref="D251" r:id="rId234" xr:uid="{00000000-0004-0000-0000-0000E9000000}"/>
    <hyperlink ref="D283" r:id="rId235" xr:uid="{00000000-0004-0000-0000-0000EA000000}"/>
    <hyperlink ref="D262" r:id="rId236" xr:uid="{00000000-0004-0000-0000-0000EB000000}"/>
    <hyperlink ref="D115" r:id="rId237" xr:uid="{00000000-0004-0000-0000-0000EC000000}"/>
    <hyperlink ref="D233" r:id="rId238" xr:uid="{00000000-0004-0000-0000-0000ED000000}"/>
    <hyperlink ref="D147" r:id="rId239" xr:uid="{00000000-0004-0000-0000-0000EE000000}"/>
    <hyperlink ref="D219" r:id="rId240" xr:uid="{00000000-0004-0000-0000-0000EF000000}"/>
    <hyperlink ref="D122" r:id="rId241" xr:uid="{00000000-0004-0000-0000-0000F0000000}"/>
    <hyperlink ref="D259" r:id="rId242" xr:uid="{00000000-0004-0000-0000-0000F1000000}"/>
    <hyperlink ref="D188" r:id="rId243" xr:uid="{00000000-0004-0000-0000-0000F2000000}"/>
    <hyperlink ref="D280" r:id="rId244" xr:uid="{00000000-0004-0000-0000-0000F3000000}"/>
    <hyperlink ref="D290" r:id="rId245" xr:uid="{00000000-0004-0000-0000-0000F4000000}"/>
    <hyperlink ref="D287" r:id="rId246" xr:uid="{00000000-0004-0000-0000-0000F5000000}"/>
    <hyperlink ref="D289" r:id="rId247" xr:uid="{00000000-0004-0000-0000-0000F6000000}"/>
    <hyperlink ref="D271" r:id="rId248" xr:uid="{00000000-0004-0000-0000-0000F7000000}"/>
    <hyperlink ref="D282" r:id="rId249" xr:uid="{00000000-0004-0000-0000-0000F8000000}"/>
    <hyperlink ref="D288" r:id="rId250" xr:uid="{00000000-0004-0000-0000-0000F9000000}"/>
    <hyperlink ref="D28" r:id="rId251" xr:uid="{00000000-0004-0000-0000-0000FA000000}"/>
    <hyperlink ref="D51" r:id="rId252" xr:uid="{00000000-0004-0000-0000-0000FB000000}"/>
    <hyperlink ref="D58" r:id="rId253" xr:uid="{00000000-0004-0000-0000-0000FC000000}"/>
    <hyperlink ref="D66" r:id="rId254" xr:uid="{00000000-0004-0000-0000-0000FD000000}"/>
    <hyperlink ref="D67" r:id="rId255" xr:uid="{00000000-0004-0000-0000-0000FE000000}"/>
    <hyperlink ref="D73" r:id="rId256" xr:uid="{00000000-0004-0000-0000-0000FF000000}"/>
    <hyperlink ref="D80" r:id="rId257" xr:uid="{00000000-0004-0000-0000-000000010000}"/>
    <hyperlink ref="D85" r:id="rId258" xr:uid="{00000000-0004-0000-0000-000001010000}"/>
    <hyperlink ref="D93" r:id="rId259" xr:uid="{00000000-0004-0000-0000-000002010000}"/>
    <hyperlink ref="D110" r:id="rId260" xr:uid="{00000000-0004-0000-0000-000003010000}"/>
    <hyperlink ref="D111" r:id="rId261" xr:uid="{00000000-0004-0000-0000-000004010000}"/>
    <hyperlink ref="D113" r:id="rId262" xr:uid="{00000000-0004-0000-0000-000005010000}"/>
    <hyperlink ref="D123" r:id="rId263" xr:uid="{00000000-0004-0000-0000-000006010000}"/>
    <hyperlink ref="D128" r:id="rId264" xr:uid="{00000000-0004-0000-0000-000007010000}"/>
    <hyperlink ref="D134" r:id="rId265" xr:uid="{00000000-0004-0000-0000-000008010000}"/>
    <hyperlink ref="D178" r:id="rId266" xr:uid="{00000000-0004-0000-0000-000009010000}"/>
    <hyperlink ref="D207" r:id="rId267" xr:uid="{00000000-0004-0000-0000-00000A010000}"/>
    <hyperlink ref="D217" r:id="rId268" xr:uid="{00000000-0004-0000-0000-00000B010000}"/>
    <hyperlink ref="D221" r:id="rId269" xr:uid="{00000000-0004-0000-0000-00000C010000}"/>
    <hyperlink ref="D247" r:id="rId270" xr:uid="{00000000-0004-0000-0000-00000D010000}"/>
    <hyperlink ref="D248" r:id="rId271" xr:uid="{00000000-0004-0000-0000-00000E010000}"/>
    <hyperlink ref="D250" r:id="rId272" xr:uid="{00000000-0004-0000-0000-00000F010000}"/>
    <hyperlink ref="D255" r:id="rId273" xr:uid="{00000000-0004-0000-0000-000010010000}"/>
    <hyperlink ref="D263" r:id="rId274" xr:uid="{00000000-0004-0000-0000-000011010000}"/>
    <hyperlink ref="D265" r:id="rId275" xr:uid="{00000000-0004-0000-0000-000012010000}"/>
    <hyperlink ref="D266" r:id="rId276" xr:uid="{00000000-0004-0000-0000-000013010000}"/>
    <hyperlink ref="D269" r:id="rId277" xr:uid="{00000000-0004-0000-0000-000014010000}"/>
    <hyperlink ref="D273" r:id="rId278" xr:uid="{00000000-0004-0000-0000-000015010000}"/>
    <hyperlink ref="D275" r:id="rId279" xr:uid="{00000000-0004-0000-0000-000016010000}"/>
    <hyperlink ref="D281" r:id="rId280" xr:uid="{00000000-0004-0000-0000-000017010000}"/>
    <hyperlink ref="D285" r:id="rId281" xr:uid="{00000000-0004-0000-0000-000018010000}"/>
    <hyperlink ref="D286" r:id="rId282" xr:uid="{00000000-0004-0000-0000-000019010000}"/>
    <hyperlink ref="D14" r:id="rId283" xr:uid="{00000000-0004-0000-0000-00001A010000}"/>
    <hyperlink ref="D176" r:id="rId284" xr:uid="{00000000-0004-0000-0000-00001B010000}"/>
    <hyperlink ref="D35" r:id="rId285" xr:uid="{00000000-0004-0000-0000-00001C010000}"/>
    <hyperlink ref="D241" r:id="rId286" xr:uid="{00000000-0004-0000-0000-00001D010000}"/>
  </hyperlinks>
  <pageMargins left="0.7" right="0.7" top="0.75" bottom="0.75" header="0" footer="0"/>
  <pageSetup orientation="landscape" r:id="rId28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outlinePr summaryBelow="0" summaryRight="0"/>
  </sheetPr>
  <dimension ref="A1:H975"/>
  <sheetViews>
    <sheetView showGridLines="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8.88671875" defaultRowHeight="15" customHeight="1"/>
  <cols>
    <col min="1" max="1" width="6.109375" style="21" customWidth="1"/>
    <col min="2" max="2" width="73.109375" style="21" customWidth="1"/>
    <col min="3" max="4" width="27.109375" style="21" customWidth="1"/>
    <col min="5" max="5" width="28" style="21" customWidth="1"/>
    <col min="6" max="7" width="15.5546875" style="21" customWidth="1"/>
    <col min="8" max="8" width="45.6640625" style="21" customWidth="1"/>
    <col min="9" max="16384" width="8.88671875" style="21"/>
  </cols>
  <sheetData>
    <row r="1" spans="1:8" ht="24.75" customHeight="1">
      <c r="A1" s="53" t="s">
        <v>0</v>
      </c>
      <c r="B1" s="54"/>
      <c r="C1" s="54"/>
      <c r="D1" s="54"/>
      <c r="E1" s="54"/>
      <c r="F1" s="54"/>
      <c r="G1" s="54"/>
      <c r="H1" s="55"/>
    </row>
    <row r="2" spans="1:8" ht="15" customHeight="1">
      <c r="A2" s="56" t="s">
        <v>1</v>
      </c>
      <c r="B2" s="57"/>
      <c r="C2" s="57"/>
      <c r="D2" s="57"/>
      <c r="E2" s="57"/>
      <c r="F2" s="57"/>
      <c r="G2" s="57"/>
      <c r="H2" s="58"/>
    </row>
    <row r="3" spans="1:8" ht="15" customHeight="1">
      <c r="A3" s="59"/>
      <c r="B3" s="60"/>
      <c r="C3" s="60"/>
      <c r="D3" s="60"/>
      <c r="E3" s="60"/>
      <c r="F3" s="60"/>
      <c r="G3" s="60"/>
      <c r="H3" s="61"/>
    </row>
    <row r="4" spans="1:8" ht="28.5" customHeight="1">
      <c r="A4" s="9" t="s">
        <v>2</v>
      </c>
      <c r="B4" s="26" t="s">
        <v>9</v>
      </c>
      <c r="C4" s="26" t="s">
        <v>10</v>
      </c>
      <c r="D4" s="26" t="s">
        <v>11</v>
      </c>
      <c r="E4" s="9" t="s">
        <v>5</v>
      </c>
      <c r="F4" s="9" t="s">
        <v>549</v>
      </c>
      <c r="G4" s="9" t="s">
        <v>4463</v>
      </c>
      <c r="H4" s="26" t="s">
        <v>6</v>
      </c>
    </row>
    <row r="5" spans="1:8" s="22" customFormat="1" ht="15.9" customHeight="1">
      <c r="A5" s="27">
        <v>1</v>
      </c>
      <c r="B5" s="3" t="s">
        <v>929</v>
      </c>
      <c r="C5" s="28" t="s">
        <v>371</v>
      </c>
      <c r="D5" s="28" t="s">
        <v>1836</v>
      </c>
      <c r="E5" s="3" t="s">
        <v>2758</v>
      </c>
      <c r="F5" s="27">
        <v>1</v>
      </c>
      <c r="G5" s="28" t="s">
        <v>371</v>
      </c>
      <c r="H5" s="29"/>
    </row>
    <row r="6" spans="1:8" s="22" customFormat="1" ht="15.9" customHeight="1">
      <c r="A6" s="27">
        <v>2</v>
      </c>
      <c r="B6" s="3" t="s">
        <v>930</v>
      </c>
      <c r="C6" s="28" t="s">
        <v>4464</v>
      </c>
      <c r="D6" s="28" t="s">
        <v>1837</v>
      </c>
      <c r="E6" s="3" t="s">
        <v>2759</v>
      </c>
      <c r="F6" s="27">
        <v>1</v>
      </c>
      <c r="G6" s="28" t="s">
        <v>371</v>
      </c>
      <c r="H6" s="29"/>
    </row>
    <row r="7" spans="1:8" s="22" customFormat="1" ht="15.9" customHeight="1">
      <c r="A7" s="27">
        <v>3</v>
      </c>
      <c r="B7" s="3" t="s">
        <v>931</v>
      </c>
      <c r="C7" s="28" t="s">
        <v>4465</v>
      </c>
      <c r="D7" s="28" t="s">
        <v>1838</v>
      </c>
      <c r="E7" s="3" t="s">
        <v>2760</v>
      </c>
      <c r="F7" s="27">
        <v>1</v>
      </c>
      <c r="G7" s="28" t="s">
        <v>371</v>
      </c>
      <c r="H7" s="29"/>
    </row>
    <row r="8" spans="1:8" s="22" customFormat="1" ht="15.9" customHeight="1">
      <c r="A8" s="27">
        <v>4</v>
      </c>
      <c r="B8" s="3" t="s">
        <v>932</v>
      </c>
      <c r="C8" s="28" t="s">
        <v>371</v>
      </c>
      <c r="D8" s="28" t="s">
        <v>1839</v>
      </c>
      <c r="E8" s="3" t="s">
        <v>2761</v>
      </c>
      <c r="F8" s="27">
        <v>1</v>
      </c>
      <c r="G8" s="28" t="s">
        <v>371</v>
      </c>
      <c r="H8" s="29"/>
    </row>
    <row r="9" spans="1:8" s="22" customFormat="1" ht="15.9" customHeight="1">
      <c r="A9" s="27">
        <v>5</v>
      </c>
      <c r="B9" s="3" t="s">
        <v>933</v>
      </c>
      <c r="C9" s="28" t="s">
        <v>4464</v>
      </c>
      <c r="D9" s="28" t="s">
        <v>1840</v>
      </c>
      <c r="E9" s="3" t="s">
        <v>2762</v>
      </c>
      <c r="F9" s="27">
        <v>1</v>
      </c>
      <c r="G9" s="28" t="s">
        <v>371</v>
      </c>
      <c r="H9" s="29"/>
    </row>
    <row r="10" spans="1:8" s="22" customFormat="1" ht="15.9" customHeight="1">
      <c r="A10" s="27">
        <v>6</v>
      </c>
      <c r="B10" s="3" t="s">
        <v>934</v>
      </c>
      <c r="C10" s="28" t="s">
        <v>371</v>
      </c>
      <c r="D10" s="28" t="s">
        <v>1841</v>
      </c>
      <c r="E10" s="3" t="s">
        <v>2763</v>
      </c>
      <c r="F10" s="27">
        <v>1</v>
      </c>
      <c r="G10" s="28" t="s">
        <v>371</v>
      </c>
      <c r="H10" s="29"/>
    </row>
    <row r="11" spans="1:8" s="22" customFormat="1" ht="15.9" customHeight="1">
      <c r="A11" s="27">
        <v>7</v>
      </c>
      <c r="B11" s="3" t="s">
        <v>935</v>
      </c>
      <c r="C11" s="28" t="s">
        <v>4465</v>
      </c>
      <c r="D11" s="28" t="s">
        <v>1842</v>
      </c>
      <c r="E11" s="3" t="s">
        <v>2764</v>
      </c>
      <c r="F11" s="27">
        <v>1</v>
      </c>
      <c r="G11" s="28" t="s">
        <v>371</v>
      </c>
      <c r="H11" s="29"/>
    </row>
    <row r="12" spans="1:8" s="22" customFormat="1" ht="15.9" customHeight="1">
      <c r="A12" s="27">
        <v>8</v>
      </c>
      <c r="B12" s="3" t="s">
        <v>936</v>
      </c>
      <c r="C12" s="28" t="s">
        <v>4952</v>
      </c>
      <c r="D12" s="28" t="s">
        <v>1843</v>
      </c>
      <c r="E12" s="3" t="s">
        <v>2765</v>
      </c>
      <c r="F12" s="27">
        <v>1</v>
      </c>
      <c r="G12" s="28" t="s">
        <v>371</v>
      </c>
      <c r="H12" s="29"/>
    </row>
    <row r="13" spans="1:8" s="22" customFormat="1" ht="15.9" customHeight="1">
      <c r="A13" s="27">
        <v>9</v>
      </c>
      <c r="B13" s="3" t="s">
        <v>937</v>
      </c>
      <c r="C13" s="28" t="s">
        <v>3672</v>
      </c>
      <c r="D13" s="28" t="s">
        <v>1844</v>
      </c>
      <c r="E13" s="3" t="s">
        <v>2766</v>
      </c>
      <c r="F13" s="27">
        <v>1</v>
      </c>
      <c r="G13" s="28" t="s">
        <v>371</v>
      </c>
      <c r="H13" s="29"/>
    </row>
    <row r="14" spans="1:8" s="22" customFormat="1" ht="15.9" customHeight="1">
      <c r="A14" s="27">
        <v>10</v>
      </c>
      <c r="B14" s="3" t="s">
        <v>938</v>
      </c>
      <c r="C14" s="28" t="s">
        <v>371</v>
      </c>
      <c r="D14" s="28" t="s">
        <v>1845</v>
      </c>
      <c r="E14" s="3" t="s">
        <v>2767</v>
      </c>
      <c r="F14" s="27">
        <v>1</v>
      </c>
      <c r="G14" s="28" t="s">
        <v>371</v>
      </c>
      <c r="H14" s="29"/>
    </row>
    <row r="15" spans="1:8" s="22" customFormat="1" ht="15.9" customHeight="1">
      <c r="A15" s="27">
        <v>11</v>
      </c>
      <c r="B15" s="3" t="s">
        <v>939</v>
      </c>
      <c r="C15" s="28" t="s">
        <v>4465</v>
      </c>
      <c r="D15" s="28" t="s">
        <v>1846</v>
      </c>
      <c r="E15" s="3" t="s">
        <v>2768</v>
      </c>
      <c r="F15" s="27">
        <v>1</v>
      </c>
      <c r="G15" s="28" t="s">
        <v>371</v>
      </c>
      <c r="H15" s="29"/>
    </row>
    <row r="16" spans="1:8" s="22" customFormat="1" ht="15.9" customHeight="1">
      <c r="A16" s="27">
        <v>12</v>
      </c>
      <c r="B16" s="3" t="s">
        <v>940</v>
      </c>
      <c r="C16" s="28" t="s">
        <v>371</v>
      </c>
      <c r="D16" s="28" t="s">
        <v>1847</v>
      </c>
      <c r="E16" s="3" t="s">
        <v>2769</v>
      </c>
      <c r="F16" s="27">
        <v>1</v>
      </c>
      <c r="G16" s="28" t="s">
        <v>371</v>
      </c>
      <c r="H16" s="29"/>
    </row>
    <row r="17" spans="1:8" s="22" customFormat="1" ht="15.9" customHeight="1">
      <c r="A17" s="27">
        <v>13</v>
      </c>
      <c r="B17" s="3" t="s">
        <v>941</v>
      </c>
      <c r="C17" s="28" t="s">
        <v>4464</v>
      </c>
      <c r="D17" s="28" t="s">
        <v>1848</v>
      </c>
      <c r="E17" s="3" t="s">
        <v>2770</v>
      </c>
      <c r="F17" s="27">
        <v>1</v>
      </c>
      <c r="G17" s="28" t="s">
        <v>371</v>
      </c>
      <c r="H17" s="29"/>
    </row>
    <row r="18" spans="1:8" s="22" customFormat="1" ht="15.9" customHeight="1">
      <c r="A18" s="27">
        <v>14</v>
      </c>
      <c r="B18" s="3" t="s">
        <v>942</v>
      </c>
      <c r="C18" s="28" t="s">
        <v>4466</v>
      </c>
      <c r="D18" s="28" t="s">
        <v>1849</v>
      </c>
      <c r="E18" s="3" t="s">
        <v>2771</v>
      </c>
      <c r="F18" s="27">
        <v>1</v>
      </c>
      <c r="G18" s="28" t="s">
        <v>371</v>
      </c>
      <c r="H18" s="29"/>
    </row>
    <row r="19" spans="1:8" s="22" customFormat="1" ht="15.9" customHeight="1">
      <c r="A19" s="27">
        <v>15</v>
      </c>
      <c r="B19" s="3" t="s">
        <v>943</v>
      </c>
      <c r="C19" s="28" t="s">
        <v>4465</v>
      </c>
      <c r="D19" s="28" t="s">
        <v>1850</v>
      </c>
      <c r="E19" s="3" t="s">
        <v>2772</v>
      </c>
      <c r="F19" s="27">
        <v>1</v>
      </c>
      <c r="G19" s="28" t="s">
        <v>371</v>
      </c>
      <c r="H19" s="29"/>
    </row>
    <row r="20" spans="1:8" s="22" customFormat="1" ht="15.9" customHeight="1">
      <c r="A20" s="27">
        <v>16</v>
      </c>
      <c r="B20" s="3" t="s">
        <v>944</v>
      </c>
      <c r="C20" s="28" t="s">
        <v>3673</v>
      </c>
      <c r="D20" s="28" t="s">
        <v>1851</v>
      </c>
      <c r="E20" s="3" t="s">
        <v>2773</v>
      </c>
      <c r="F20" s="27">
        <v>1</v>
      </c>
      <c r="G20" s="28" t="s">
        <v>371</v>
      </c>
      <c r="H20" s="29"/>
    </row>
    <row r="21" spans="1:8" s="22" customFormat="1" ht="15.9" customHeight="1">
      <c r="A21" s="27">
        <v>17</v>
      </c>
      <c r="B21" s="3" t="s">
        <v>945</v>
      </c>
      <c r="C21" s="28" t="s">
        <v>4946</v>
      </c>
      <c r="D21" s="28" t="s">
        <v>1852</v>
      </c>
      <c r="E21" s="3" t="s">
        <v>2774</v>
      </c>
      <c r="F21" s="27">
        <v>1</v>
      </c>
      <c r="G21" s="28" t="s">
        <v>371</v>
      </c>
      <c r="H21" s="29"/>
    </row>
    <row r="22" spans="1:8" s="22" customFormat="1" ht="15.9" customHeight="1">
      <c r="A22" s="27">
        <v>18</v>
      </c>
      <c r="B22" s="3" t="s">
        <v>946</v>
      </c>
      <c r="C22" s="28" t="s">
        <v>3674</v>
      </c>
      <c r="D22" s="28" t="s">
        <v>1853</v>
      </c>
      <c r="E22" s="3" t="s">
        <v>2775</v>
      </c>
      <c r="F22" s="27">
        <v>1</v>
      </c>
      <c r="G22" s="28" t="s">
        <v>371</v>
      </c>
      <c r="H22" s="29"/>
    </row>
    <row r="23" spans="1:8" s="22" customFormat="1" ht="15.9" customHeight="1">
      <c r="A23" s="27">
        <v>19</v>
      </c>
      <c r="B23" s="3" t="s">
        <v>947</v>
      </c>
      <c r="C23" s="28" t="s">
        <v>4465</v>
      </c>
      <c r="D23" s="28" t="s">
        <v>1854</v>
      </c>
      <c r="E23" s="3" t="s">
        <v>2776</v>
      </c>
      <c r="F23" s="27">
        <v>1</v>
      </c>
      <c r="G23" s="28" t="s">
        <v>371</v>
      </c>
      <c r="H23" s="29"/>
    </row>
    <row r="24" spans="1:8" s="22" customFormat="1" ht="15.9" customHeight="1">
      <c r="A24" s="27">
        <v>20</v>
      </c>
      <c r="B24" s="3" t="s">
        <v>948</v>
      </c>
      <c r="C24" s="28" t="s">
        <v>371</v>
      </c>
      <c r="D24" s="28" t="s">
        <v>1855</v>
      </c>
      <c r="E24" s="3" t="s">
        <v>2777</v>
      </c>
      <c r="F24" s="27">
        <v>1</v>
      </c>
      <c r="G24" s="28" t="s">
        <v>371</v>
      </c>
      <c r="H24" s="29"/>
    </row>
    <row r="25" spans="1:8" s="22" customFormat="1" ht="15.9" customHeight="1">
      <c r="A25" s="27">
        <v>21</v>
      </c>
      <c r="B25" s="3" t="s">
        <v>949</v>
      </c>
      <c r="C25" s="28" t="s">
        <v>371</v>
      </c>
      <c r="D25" s="28" t="s">
        <v>1856</v>
      </c>
      <c r="E25" s="3" t="s">
        <v>2778</v>
      </c>
      <c r="F25" s="27">
        <v>1</v>
      </c>
      <c r="G25" s="28" t="s">
        <v>371</v>
      </c>
      <c r="H25" s="29"/>
    </row>
    <row r="26" spans="1:8" s="22" customFormat="1" ht="15.9" customHeight="1">
      <c r="A26" s="27">
        <v>22</v>
      </c>
      <c r="B26" s="3" t="s">
        <v>950</v>
      </c>
      <c r="C26" s="28" t="s">
        <v>388</v>
      </c>
      <c r="D26" s="28" t="s">
        <v>1857</v>
      </c>
      <c r="E26" s="3" t="s">
        <v>2779</v>
      </c>
      <c r="F26" s="27">
        <v>1</v>
      </c>
      <c r="G26" s="28" t="s">
        <v>371</v>
      </c>
      <c r="H26" s="29"/>
    </row>
    <row r="27" spans="1:8" s="22" customFormat="1" ht="15.9" customHeight="1">
      <c r="A27" s="27">
        <v>23</v>
      </c>
      <c r="B27" s="3" t="s">
        <v>951</v>
      </c>
      <c r="C27" s="28" t="s">
        <v>371</v>
      </c>
      <c r="D27" s="28" t="s">
        <v>1858</v>
      </c>
      <c r="E27" s="3" t="s">
        <v>2780</v>
      </c>
      <c r="F27" s="27">
        <v>1</v>
      </c>
      <c r="G27" s="28" t="s">
        <v>371</v>
      </c>
      <c r="H27" s="29"/>
    </row>
    <row r="28" spans="1:8" s="22" customFormat="1" ht="15.9" customHeight="1">
      <c r="A28" s="27">
        <v>24</v>
      </c>
      <c r="B28" s="3" t="s">
        <v>952</v>
      </c>
      <c r="C28" s="28" t="s">
        <v>371</v>
      </c>
      <c r="D28" s="28" t="s">
        <v>1859</v>
      </c>
      <c r="E28" s="3" t="s">
        <v>2781</v>
      </c>
      <c r="F28" s="27">
        <v>1</v>
      </c>
      <c r="G28" s="28" t="s">
        <v>371</v>
      </c>
      <c r="H28" s="29"/>
    </row>
    <row r="29" spans="1:8" s="22" customFormat="1" ht="15.9" customHeight="1">
      <c r="A29" s="27">
        <v>25</v>
      </c>
      <c r="B29" s="3" t="s">
        <v>953</v>
      </c>
      <c r="C29" s="28" t="s">
        <v>371</v>
      </c>
      <c r="D29" s="28" t="s">
        <v>1860</v>
      </c>
      <c r="E29" s="3" t="s">
        <v>2782</v>
      </c>
      <c r="F29" s="27">
        <v>1</v>
      </c>
      <c r="G29" s="28" t="s">
        <v>371</v>
      </c>
      <c r="H29" s="29"/>
    </row>
    <row r="30" spans="1:8" s="22" customFormat="1" ht="15.9" customHeight="1">
      <c r="A30" s="27">
        <v>26</v>
      </c>
      <c r="B30" s="3" t="s">
        <v>954</v>
      </c>
      <c r="C30" s="28" t="s">
        <v>371</v>
      </c>
      <c r="D30" s="28" t="s">
        <v>1861</v>
      </c>
      <c r="E30" s="3" t="s">
        <v>2783</v>
      </c>
      <c r="F30" s="27">
        <v>1</v>
      </c>
      <c r="G30" s="28" t="s">
        <v>371</v>
      </c>
      <c r="H30" s="29"/>
    </row>
    <row r="31" spans="1:8" s="22" customFormat="1" ht="15.9" customHeight="1">
      <c r="A31" s="27">
        <v>27</v>
      </c>
      <c r="B31" s="3" t="s">
        <v>955</v>
      </c>
      <c r="C31" s="28" t="s">
        <v>4467</v>
      </c>
      <c r="D31" s="28" t="s">
        <v>1862</v>
      </c>
      <c r="E31" s="3" t="s">
        <v>2784</v>
      </c>
      <c r="F31" s="27">
        <v>1</v>
      </c>
      <c r="G31" s="28" t="s">
        <v>371</v>
      </c>
      <c r="H31" s="29"/>
    </row>
    <row r="32" spans="1:8" s="22" customFormat="1" ht="15.9" customHeight="1">
      <c r="A32" s="27">
        <v>28</v>
      </c>
      <c r="B32" s="3" t="s">
        <v>1834</v>
      </c>
      <c r="C32" s="28" t="s">
        <v>371</v>
      </c>
      <c r="D32" s="28" t="s">
        <v>2756</v>
      </c>
      <c r="E32" s="3" t="s">
        <v>3670</v>
      </c>
      <c r="F32" s="27">
        <v>1</v>
      </c>
      <c r="G32" s="28" t="s">
        <v>371</v>
      </c>
      <c r="H32" s="29"/>
    </row>
    <row r="33" spans="1:8" s="22" customFormat="1" ht="15.9" customHeight="1">
      <c r="A33" s="27">
        <v>29</v>
      </c>
      <c r="B33" s="3" t="s">
        <v>1832</v>
      </c>
      <c r="C33" s="28" t="s">
        <v>371</v>
      </c>
      <c r="D33" s="28" t="s">
        <v>2754</v>
      </c>
      <c r="E33" s="3" t="s">
        <v>3668</v>
      </c>
      <c r="F33" s="27">
        <v>1</v>
      </c>
      <c r="G33" s="28" t="s">
        <v>371</v>
      </c>
      <c r="H33" s="29"/>
    </row>
    <row r="34" spans="1:8" s="22" customFormat="1" ht="15.9" customHeight="1">
      <c r="A34" s="27">
        <v>30</v>
      </c>
      <c r="B34" s="3" t="s">
        <v>1833</v>
      </c>
      <c r="C34" s="28" t="s">
        <v>371</v>
      </c>
      <c r="D34" s="28" t="s">
        <v>2755</v>
      </c>
      <c r="E34" s="3" t="s">
        <v>3669</v>
      </c>
      <c r="F34" s="27">
        <v>1</v>
      </c>
      <c r="G34" s="28" t="s">
        <v>371</v>
      </c>
      <c r="H34" s="29"/>
    </row>
    <row r="35" spans="1:8" s="22" customFormat="1" ht="15.9" customHeight="1">
      <c r="A35" s="27">
        <v>31</v>
      </c>
      <c r="B35" s="3" t="s">
        <v>1835</v>
      </c>
      <c r="C35" s="28" t="s">
        <v>371</v>
      </c>
      <c r="D35" s="28" t="s">
        <v>2757</v>
      </c>
      <c r="E35" s="3" t="s">
        <v>3671</v>
      </c>
      <c r="F35" s="27">
        <v>1</v>
      </c>
      <c r="G35" s="28" t="s">
        <v>371</v>
      </c>
      <c r="H35" s="29"/>
    </row>
    <row r="36" spans="1:8" s="22" customFormat="1" ht="15.9" customHeight="1">
      <c r="A36" s="27">
        <v>32</v>
      </c>
      <c r="B36" s="3" t="s">
        <v>4468</v>
      </c>
      <c r="C36" s="28" t="s">
        <v>4469</v>
      </c>
      <c r="D36" s="28" t="s">
        <v>4470</v>
      </c>
      <c r="E36" s="3" t="s">
        <v>4471</v>
      </c>
      <c r="F36" s="27">
        <v>1</v>
      </c>
      <c r="G36" s="28" t="s">
        <v>4335</v>
      </c>
      <c r="H36" s="29"/>
    </row>
    <row r="37" spans="1:8" s="22" customFormat="1" ht="15.9" customHeight="1">
      <c r="A37" s="27">
        <v>33</v>
      </c>
      <c r="B37" s="3" t="s">
        <v>956</v>
      </c>
      <c r="C37" s="28" t="s">
        <v>4953</v>
      </c>
      <c r="D37" s="28" t="s">
        <v>1863</v>
      </c>
      <c r="E37" s="3" t="s">
        <v>2785</v>
      </c>
      <c r="F37" s="27">
        <v>1</v>
      </c>
      <c r="G37" s="28" t="s">
        <v>371</v>
      </c>
      <c r="H37" s="29"/>
    </row>
    <row r="38" spans="1:8" s="22" customFormat="1" ht="15.9" customHeight="1">
      <c r="A38" s="27">
        <v>34</v>
      </c>
      <c r="B38" s="3" t="s">
        <v>957</v>
      </c>
      <c r="C38" s="28" t="s">
        <v>4947</v>
      </c>
      <c r="D38" s="28" t="s">
        <v>1864</v>
      </c>
      <c r="E38" s="3" t="s">
        <v>2786</v>
      </c>
      <c r="F38" s="27">
        <v>1</v>
      </c>
      <c r="G38" s="28" t="s">
        <v>371</v>
      </c>
      <c r="H38" s="29"/>
    </row>
    <row r="39" spans="1:8" s="22" customFormat="1" ht="15.9" customHeight="1">
      <c r="A39" s="27">
        <v>35</v>
      </c>
      <c r="B39" s="3" t="s">
        <v>958</v>
      </c>
      <c r="C39" s="28" t="s">
        <v>102</v>
      </c>
      <c r="D39" s="28" t="s">
        <v>1865</v>
      </c>
      <c r="E39" s="3" t="s">
        <v>2787</v>
      </c>
      <c r="F39" s="27">
        <v>1</v>
      </c>
      <c r="G39" s="28" t="s">
        <v>371</v>
      </c>
      <c r="H39" s="29"/>
    </row>
    <row r="40" spans="1:8" s="22" customFormat="1" ht="15.9" customHeight="1">
      <c r="A40" s="27">
        <v>36</v>
      </c>
      <c r="B40" s="3" t="s">
        <v>959</v>
      </c>
      <c r="C40" s="28" t="s">
        <v>4472</v>
      </c>
      <c r="D40" s="28" t="s">
        <v>1866</v>
      </c>
      <c r="E40" s="3" t="s">
        <v>2788</v>
      </c>
      <c r="F40" s="27">
        <v>1</v>
      </c>
      <c r="G40" s="28" t="s">
        <v>371</v>
      </c>
      <c r="H40" s="29"/>
    </row>
    <row r="41" spans="1:8" s="22" customFormat="1" ht="15.9" customHeight="1">
      <c r="A41" s="27">
        <v>37</v>
      </c>
      <c r="B41" s="3" t="s">
        <v>960</v>
      </c>
      <c r="C41" s="28" t="s">
        <v>371</v>
      </c>
      <c r="D41" s="28" t="s">
        <v>1867</v>
      </c>
      <c r="E41" s="3" t="s">
        <v>2789</v>
      </c>
      <c r="F41" s="27">
        <v>1</v>
      </c>
      <c r="G41" s="28" t="s">
        <v>371</v>
      </c>
      <c r="H41" s="29"/>
    </row>
    <row r="42" spans="1:8" s="22" customFormat="1" ht="15.9" customHeight="1">
      <c r="A42" s="27">
        <v>38</v>
      </c>
      <c r="B42" s="3" t="s">
        <v>961</v>
      </c>
      <c r="C42" s="28" t="s">
        <v>4957</v>
      </c>
      <c r="D42" s="28" t="s">
        <v>1868</v>
      </c>
      <c r="E42" s="3" t="s">
        <v>2790</v>
      </c>
      <c r="F42" s="27">
        <v>1</v>
      </c>
      <c r="G42" s="28" t="s">
        <v>371</v>
      </c>
      <c r="H42" s="29"/>
    </row>
    <row r="43" spans="1:8" s="22" customFormat="1" ht="15.9" customHeight="1">
      <c r="A43" s="27">
        <v>39</v>
      </c>
      <c r="B43" s="3" t="s">
        <v>962</v>
      </c>
      <c r="C43" s="28" t="s">
        <v>371</v>
      </c>
      <c r="D43" s="28" t="s">
        <v>1869</v>
      </c>
      <c r="E43" s="3" t="s">
        <v>2791</v>
      </c>
      <c r="F43" s="27">
        <v>1</v>
      </c>
      <c r="G43" s="28" t="s">
        <v>371</v>
      </c>
      <c r="H43" s="29"/>
    </row>
    <row r="44" spans="1:8" s="22" customFormat="1" ht="15.9" customHeight="1">
      <c r="A44" s="27">
        <v>40</v>
      </c>
      <c r="B44" s="3" t="s">
        <v>963</v>
      </c>
      <c r="C44" s="28" t="s">
        <v>371</v>
      </c>
      <c r="D44" s="28" t="s">
        <v>1870</v>
      </c>
      <c r="E44" s="3" t="s">
        <v>2792</v>
      </c>
      <c r="F44" s="27">
        <v>1</v>
      </c>
      <c r="G44" s="28" t="s">
        <v>371</v>
      </c>
      <c r="H44" s="29"/>
    </row>
    <row r="45" spans="1:8" s="22" customFormat="1" ht="15.9" customHeight="1">
      <c r="A45" s="27">
        <v>41</v>
      </c>
      <c r="B45" s="3" t="s">
        <v>964</v>
      </c>
      <c r="C45" s="28" t="s">
        <v>4465</v>
      </c>
      <c r="D45" s="28" t="s">
        <v>1871</v>
      </c>
      <c r="E45" s="3" t="s">
        <v>2793</v>
      </c>
      <c r="F45" s="27">
        <v>1</v>
      </c>
      <c r="G45" s="28" t="s">
        <v>371</v>
      </c>
      <c r="H45" s="29"/>
    </row>
    <row r="46" spans="1:8" s="22" customFormat="1" ht="15.9" customHeight="1">
      <c r="A46" s="27">
        <v>42</v>
      </c>
      <c r="B46" s="3" t="s">
        <v>965</v>
      </c>
      <c r="C46" s="28" t="s">
        <v>4473</v>
      </c>
      <c r="D46" s="28" t="s">
        <v>1872</v>
      </c>
      <c r="E46" s="3" t="s">
        <v>2794</v>
      </c>
      <c r="F46" s="27">
        <v>1</v>
      </c>
      <c r="G46" s="28" t="s">
        <v>371</v>
      </c>
      <c r="H46" s="29"/>
    </row>
    <row r="47" spans="1:8" s="22" customFormat="1" ht="15.9" customHeight="1">
      <c r="A47" s="27">
        <v>43</v>
      </c>
      <c r="B47" s="3" t="s">
        <v>966</v>
      </c>
      <c r="C47" s="28" t="s">
        <v>371</v>
      </c>
      <c r="D47" s="28" t="s">
        <v>1873</v>
      </c>
      <c r="E47" s="3" t="s">
        <v>2795</v>
      </c>
      <c r="F47" s="27">
        <v>1</v>
      </c>
      <c r="G47" s="28" t="s">
        <v>371</v>
      </c>
      <c r="H47" s="29"/>
    </row>
    <row r="48" spans="1:8" s="22" customFormat="1" ht="15.9" customHeight="1">
      <c r="A48" s="27">
        <v>44</v>
      </c>
      <c r="B48" s="3" t="s">
        <v>3790</v>
      </c>
      <c r="C48" s="28" t="s">
        <v>371</v>
      </c>
      <c r="D48" s="28" t="s">
        <v>1874</v>
      </c>
      <c r="E48" s="3" t="s">
        <v>2796</v>
      </c>
      <c r="F48" s="27">
        <v>1</v>
      </c>
      <c r="G48" s="28" t="s">
        <v>371</v>
      </c>
      <c r="H48" s="29"/>
    </row>
    <row r="49" spans="1:8" s="22" customFormat="1" ht="15.9" customHeight="1">
      <c r="A49" s="27">
        <v>45</v>
      </c>
      <c r="B49" s="3" t="s">
        <v>967</v>
      </c>
      <c r="C49" s="28" t="s">
        <v>4474</v>
      </c>
      <c r="D49" s="28" t="s">
        <v>1875</v>
      </c>
      <c r="E49" s="3" t="s">
        <v>2797</v>
      </c>
      <c r="F49" s="27">
        <v>1</v>
      </c>
      <c r="G49" s="28" t="s">
        <v>371</v>
      </c>
      <c r="H49" s="29"/>
    </row>
    <row r="50" spans="1:8" s="22" customFormat="1" ht="15.9" customHeight="1">
      <c r="A50" s="27">
        <v>46</v>
      </c>
      <c r="B50" s="3" t="s">
        <v>968</v>
      </c>
      <c r="C50" s="28" t="s">
        <v>3675</v>
      </c>
      <c r="D50" s="28" t="s">
        <v>1876</v>
      </c>
      <c r="E50" s="3" t="s">
        <v>2798</v>
      </c>
      <c r="F50" s="27">
        <v>1</v>
      </c>
      <c r="G50" s="28" t="s">
        <v>371</v>
      </c>
      <c r="H50" s="29"/>
    </row>
    <row r="51" spans="1:8" s="22" customFormat="1" ht="15.9" customHeight="1">
      <c r="A51" s="27">
        <v>47</v>
      </c>
      <c r="B51" s="3" t="s">
        <v>3791</v>
      </c>
      <c r="C51" s="28" t="s">
        <v>371</v>
      </c>
      <c r="D51" s="28" t="s">
        <v>1877</v>
      </c>
      <c r="E51" s="3" t="s">
        <v>2799</v>
      </c>
      <c r="F51" s="27">
        <v>1</v>
      </c>
      <c r="G51" s="28" t="s">
        <v>371</v>
      </c>
      <c r="H51" s="29"/>
    </row>
    <row r="52" spans="1:8" s="22" customFormat="1" ht="15.9" customHeight="1">
      <c r="A52" s="27">
        <v>48</v>
      </c>
      <c r="B52" s="3" t="s">
        <v>969</v>
      </c>
      <c r="C52" s="28" t="s">
        <v>4475</v>
      </c>
      <c r="D52" s="28" t="s">
        <v>1878</v>
      </c>
      <c r="E52" s="3" t="s">
        <v>2800</v>
      </c>
      <c r="F52" s="27">
        <v>1</v>
      </c>
      <c r="G52" s="28" t="s">
        <v>371</v>
      </c>
      <c r="H52" s="29"/>
    </row>
    <row r="53" spans="1:8" s="22" customFormat="1" ht="15.9" customHeight="1">
      <c r="A53" s="27">
        <v>49</v>
      </c>
      <c r="B53" s="3" t="s">
        <v>970</v>
      </c>
      <c r="C53" s="28" t="s">
        <v>3676</v>
      </c>
      <c r="D53" s="28" t="s">
        <v>1879</v>
      </c>
      <c r="E53" s="3" t="s">
        <v>2801</v>
      </c>
      <c r="F53" s="27">
        <v>1</v>
      </c>
      <c r="G53" s="28" t="s">
        <v>371</v>
      </c>
      <c r="H53" s="29"/>
    </row>
    <row r="54" spans="1:8" s="22" customFormat="1" ht="15.9" customHeight="1">
      <c r="A54" s="27">
        <v>50</v>
      </c>
      <c r="B54" s="3" t="s">
        <v>971</v>
      </c>
      <c r="C54" s="28" t="s">
        <v>371</v>
      </c>
      <c r="D54" s="28" t="s">
        <v>1880</v>
      </c>
      <c r="E54" s="3" t="s">
        <v>2802</v>
      </c>
      <c r="F54" s="27">
        <v>1</v>
      </c>
      <c r="G54" s="28" t="s">
        <v>371</v>
      </c>
      <c r="H54" s="29"/>
    </row>
    <row r="55" spans="1:8" s="22" customFormat="1" ht="15.9" customHeight="1">
      <c r="A55" s="27">
        <v>51</v>
      </c>
      <c r="B55" s="3" t="s">
        <v>972</v>
      </c>
      <c r="C55" s="28" t="s">
        <v>371</v>
      </c>
      <c r="D55" s="28" t="s">
        <v>1881</v>
      </c>
      <c r="E55" s="3" t="s">
        <v>2803</v>
      </c>
      <c r="F55" s="27">
        <v>1</v>
      </c>
      <c r="G55" s="28" t="s">
        <v>371</v>
      </c>
      <c r="H55" s="29"/>
    </row>
    <row r="56" spans="1:8" s="22" customFormat="1" ht="15.9" customHeight="1">
      <c r="A56" s="27">
        <v>52</v>
      </c>
      <c r="B56" s="3" t="s">
        <v>973</v>
      </c>
      <c r="C56" s="28" t="s">
        <v>371</v>
      </c>
      <c r="D56" s="28" t="s">
        <v>1882</v>
      </c>
      <c r="E56" s="3" t="s">
        <v>2804</v>
      </c>
      <c r="F56" s="27">
        <v>1</v>
      </c>
      <c r="G56" s="28" t="s">
        <v>371</v>
      </c>
      <c r="H56" s="29"/>
    </row>
    <row r="57" spans="1:8" s="22" customFormat="1" ht="15.9" customHeight="1">
      <c r="A57" s="27">
        <v>53</v>
      </c>
      <c r="B57" s="3" t="s">
        <v>974</v>
      </c>
      <c r="C57" s="28" t="s">
        <v>4476</v>
      </c>
      <c r="D57" s="28" t="s">
        <v>1883</v>
      </c>
      <c r="E57" s="3" t="s">
        <v>2805</v>
      </c>
      <c r="F57" s="27">
        <v>1</v>
      </c>
      <c r="G57" s="28" t="s">
        <v>371</v>
      </c>
      <c r="H57" s="29"/>
    </row>
    <row r="58" spans="1:8" s="22" customFormat="1" ht="15.9" customHeight="1">
      <c r="A58" s="27">
        <v>54</v>
      </c>
      <c r="B58" s="3" t="s">
        <v>975</v>
      </c>
      <c r="C58" s="28" t="s">
        <v>4477</v>
      </c>
      <c r="D58" s="28" t="s">
        <v>1884</v>
      </c>
      <c r="E58" s="3" t="s">
        <v>2806</v>
      </c>
      <c r="F58" s="27">
        <v>1</v>
      </c>
      <c r="G58" s="28" t="s">
        <v>371</v>
      </c>
      <c r="H58" s="29"/>
    </row>
    <row r="59" spans="1:8" s="22" customFormat="1" ht="15.9" customHeight="1">
      <c r="A59" s="27">
        <v>55</v>
      </c>
      <c r="B59" s="3" t="s">
        <v>976</v>
      </c>
      <c r="C59" s="28" t="s">
        <v>371</v>
      </c>
      <c r="D59" s="28" t="s">
        <v>1885</v>
      </c>
      <c r="E59" s="3" t="s">
        <v>2807</v>
      </c>
      <c r="F59" s="27">
        <v>1</v>
      </c>
      <c r="G59" s="28" t="s">
        <v>371</v>
      </c>
      <c r="H59" s="29"/>
    </row>
    <row r="60" spans="1:8" s="22" customFormat="1" ht="15.9" customHeight="1">
      <c r="A60" s="27">
        <v>56</v>
      </c>
      <c r="B60" s="3" t="s">
        <v>977</v>
      </c>
      <c r="C60" s="28" t="s">
        <v>371</v>
      </c>
      <c r="D60" s="28" t="s">
        <v>1886</v>
      </c>
      <c r="E60" s="3" t="s">
        <v>2808</v>
      </c>
      <c r="F60" s="27">
        <v>1</v>
      </c>
      <c r="G60" s="28" t="s">
        <v>371</v>
      </c>
      <c r="H60" s="29"/>
    </row>
    <row r="61" spans="1:8" s="22" customFormat="1" ht="15.9" customHeight="1">
      <c r="A61" s="27">
        <v>57</v>
      </c>
      <c r="B61" s="3" t="s">
        <v>978</v>
      </c>
      <c r="C61" s="28" t="s">
        <v>371</v>
      </c>
      <c r="D61" s="28" t="s">
        <v>1887</v>
      </c>
      <c r="E61" s="3" t="s">
        <v>2809</v>
      </c>
      <c r="F61" s="27">
        <v>1</v>
      </c>
      <c r="G61" s="28" t="s">
        <v>371</v>
      </c>
      <c r="H61" s="29"/>
    </row>
    <row r="62" spans="1:8" s="22" customFormat="1" ht="15.9" customHeight="1">
      <c r="A62" s="27">
        <v>58</v>
      </c>
      <c r="B62" s="3" t="s">
        <v>979</v>
      </c>
      <c r="C62" s="28" t="s">
        <v>371</v>
      </c>
      <c r="D62" s="28" t="s">
        <v>1888</v>
      </c>
      <c r="E62" s="3" t="s">
        <v>2810</v>
      </c>
      <c r="F62" s="27">
        <v>1</v>
      </c>
      <c r="G62" s="28" t="s">
        <v>371</v>
      </c>
      <c r="H62" s="29"/>
    </row>
    <row r="63" spans="1:8" s="22" customFormat="1" ht="15.9" customHeight="1">
      <c r="A63" s="27">
        <v>59</v>
      </c>
      <c r="B63" s="3" t="s">
        <v>980</v>
      </c>
      <c r="C63" s="28" t="s">
        <v>4478</v>
      </c>
      <c r="D63" s="28" t="s">
        <v>1889</v>
      </c>
      <c r="E63" s="3" t="s">
        <v>2811</v>
      </c>
      <c r="F63" s="27">
        <v>1</v>
      </c>
      <c r="G63" s="28" t="s">
        <v>371</v>
      </c>
      <c r="H63" s="29"/>
    </row>
    <row r="64" spans="1:8" s="22" customFormat="1" ht="15.9" customHeight="1">
      <c r="A64" s="27">
        <v>60</v>
      </c>
      <c r="B64" s="3" t="s">
        <v>981</v>
      </c>
      <c r="C64" s="28" t="s">
        <v>371</v>
      </c>
      <c r="D64" s="28" t="s">
        <v>1890</v>
      </c>
      <c r="E64" s="3" t="s">
        <v>2812</v>
      </c>
      <c r="F64" s="27">
        <v>1</v>
      </c>
      <c r="G64" s="28" t="s">
        <v>371</v>
      </c>
      <c r="H64" s="29"/>
    </row>
    <row r="65" spans="1:8" s="22" customFormat="1" ht="15.9" customHeight="1">
      <c r="A65" s="27">
        <v>61</v>
      </c>
      <c r="B65" s="3" t="s">
        <v>982</v>
      </c>
      <c r="C65" s="28" t="s">
        <v>371</v>
      </c>
      <c r="D65" s="28" t="s">
        <v>1891</v>
      </c>
      <c r="E65" s="3" t="s">
        <v>2813</v>
      </c>
      <c r="F65" s="27">
        <v>1</v>
      </c>
      <c r="G65" s="28" t="s">
        <v>371</v>
      </c>
      <c r="H65" s="29"/>
    </row>
    <row r="66" spans="1:8" s="22" customFormat="1" ht="15.9" customHeight="1">
      <c r="A66" s="27">
        <v>62</v>
      </c>
      <c r="B66" s="3" t="s">
        <v>983</v>
      </c>
      <c r="C66" s="28" t="s">
        <v>371</v>
      </c>
      <c r="D66" s="28" t="s">
        <v>1892</v>
      </c>
      <c r="E66" s="3" t="s">
        <v>2814</v>
      </c>
      <c r="F66" s="27">
        <v>1</v>
      </c>
      <c r="G66" s="28" t="s">
        <v>371</v>
      </c>
      <c r="H66" s="29"/>
    </row>
    <row r="67" spans="1:8" s="22" customFormat="1" ht="15.9" customHeight="1">
      <c r="A67" s="27">
        <v>63</v>
      </c>
      <c r="B67" s="3" t="s">
        <v>984</v>
      </c>
      <c r="C67" s="28" t="s">
        <v>371</v>
      </c>
      <c r="D67" s="28" t="s">
        <v>1893</v>
      </c>
      <c r="E67" s="3" t="s">
        <v>2815</v>
      </c>
      <c r="F67" s="27">
        <v>1</v>
      </c>
      <c r="G67" s="28" t="s">
        <v>371</v>
      </c>
      <c r="H67" s="29"/>
    </row>
    <row r="68" spans="1:8" s="22" customFormat="1" ht="15.9" customHeight="1">
      <c r="A68" s="27">
        <v>64</v>
      </c>
      <c r="B68" s="3" t="s">
        <v>985</v>
      </c>
      <c r="C68" s="28" t="s">
        <v>4943</v>
      </c>
      <c r="D68" s="28" t="s">
        <v>1894</v>
      </c>
      <c r="E68" s="3" t="s">
        <v>2816</v>
      </c>
      <c r="F68" s="27">
        <v>1</v>
      </c>
      <c r="G68" s="28" t="s">
        <v>371</v>
      </c>
      <c r="H68" s="29"/>
    </row>
    <row r="69" spans="1:8" s="22" customFormat="1" ht="15.9" customHeight="1">
      <c r="A69" s="27">
        <v>65</v>
      </c>
      <c r="B69" s="3" t="s">
        <v>986</v>
      </c>
      <c r="C69" s="28" t="s">
        <v>371</v>
      </c>
      <c r="D69" s="28" t="s">
        <v>1895</v>
      </c>
      <c r="E69" s="3" t="s">
        <v>2817</v>
      </c>
      <c r="F69" s="27">
        <v>1</v>
      </c>
      <c r="G69" s="28" t="s">
        <v>371</v>
      </c>
      <c r="H69" s="29"/>
    </row>
    <row r="70" spans="1:8" s="22" customFormat="1" ht="15.9" customHeight="1">
      <c r="A70" s="27">
        <v>66</v>
      </c>
      <c r="B70" s="3" t="s">
        <v>987</v>
      </c>
      <c r="C70" s="28" t="s">
        <v>371</v>
      </c>
      <c r="D70" s="28" t="s">
        <v>1896</v>
      </c>
      <c r="E70" s="3" t="s">
        <v>2818</v>
      </c>
      <c r="F70" s="27">
        <v>1</v>
      </c>
      <c r="G70" s="28" t="s">
        <v>371</v>
      </c>
      <c r="H70" s="29"/>
    </row>
    <row r="71" spans="1:8" s="22" customFormat="1" ht="15.9" customHeight="1">
      <c r="A71" s="27">
        <v>67</v>
      </c>
      <c r="B71" s="3" t="s">
        <v>988</v>
      </c>
      <c r="C71" s="28" t="s">
        <v>3677</v>
      </c>
      <c r="D71" s="28" t="s">
        <v>1897</v>
      </c>
      <c r="E71" s="3" t="s">
        <v>2819</v>
      </c>
      <c r="F71" s="27">
        <v>1</v>
      </c>
      <c r="G71" s="28" t="s">
        <v>371</v>
      </c>
      <c r="H71" s="29"/>
    </row>
    <row r="72" spans="1:8" s="22" customFormat="1" ht="15.9" customHeight="1">
      <c r="A72" s="27">
        <v>68</v>
      </c>
      <c r="B72" s="3" t="s">
        <v>989</v>
      </c>
      <c r="C72" s="28" t="s">
        <v>371</v>
      </c>
      <c r="D72" s="28" t="s">
        <v>1898</v>
      </c>
      <c r="E72" s="3" t="s">
        <v>2820</v>
      </c>
      <c r="F72" s="27">
        <v>1</v>
      </c>
      <c r="G72" s="28" t="s">
        <v>371</v>
      </c>
      <c r="H72" s="29"/>
    </row>
    <row r="73" spans="1:8" s="22" customFormat="1" ht="15.9" customHeight="1">
      <c r="A73" s="27">
        <v>69</v>
      </c>
      <c r="B73" s="3" t="s">
        <v>990</v>
      </c>
      <c r="C73" s="28" t="s">
        <v>3677</v>
      </c>
      <c r="D73" s="28" t="s">
        <v>1899</v>
      </c>
      <c r="E73" s="3" t="s">
        <v>2821</v>
      </c>
      <c r="F73" s="27">
        <v>1</v>
      </c>
      <c r="G73" s="28" t="s">
        <v>371</v>
      </c>
      <c r="H73" s="29"/>
    </row>
    <row r="74" spans="1:8" s="22" customFormat="1" ht="15.9" customHeight="1">
      <c r="A74" s="27">
        <v>70</v>
      </c>
      <c r="B74" s="3" t="s">
        <v>991</v>
      </c>
      <c r="C74" s="28" t="s">
        <v>371</v>
      </c>
      <c r="D74" s="28" t="s">
        <v>1900</v>
      </c>
      <c r="E74" s="3" t="s">
        <v>2822</v>
      </c>
      <c r="F74" s="27">
        <v>1</v>
      </c>
      <c r="G74" s="28" t="s">
        <v>371</v>
      </c>
      <c r="H74" s="29"/>
    </row>
    <row r="75" spans="1:8" s="22" customFormat="1" ht="15.9" customHeight="1">
      <c r="A75" s="27">
        <v>71</v>
      </c>
      <c r="B75" s="3" t="s">
        <v>992</v>
      </c>
      <c r="C75" s="28" t="s">
        <v>3678</v>
      </c>
      <c r="D75" s="28" t="s">
        <v>1901</v>
      </c>
      <c r="E75" s="3" t="s">
        <v>2823</v>
      </c>
      <c r="F75" s="27">
        <v>1</v>
      </c>
      <c r="G75" s="28" t="s">
        <v>371</v>
      </c>
      <c r="H75" s="29"/>
    </row>
    <row r="76" spans="1:8" s="22" customFormat="1" ht="15.9" customHeight="1">
      <c r="A76" s="27">
        <v>72</v>
      </c>
      <c r="B76" s="3" t="s">
        <v>993</v>
      </c>
      <c r="C76" s="28" t="s">
        <v>4479</v>
      </c>
      <c r="D76" s="28" t="s">
        <v>1902</v>
      </c>
      <c r="E76" s="3" t="s">
        <v>2824</v>
      </c>
      <c r="F76" s="27">
        <v>1</v>
      </c>
      <c r="G76" s="28" t="s">
        <v>371</v>
      </c>
      <c r="H76" s="29"/>
    </row>
    <row r="77" spans="1:8" s="22" customFormat="1" ht="15.9" customHeight="1">
      <c r="A77" s="27">
        <v>73</v>
      </c>
      <c r="B77" s="3" t="s">
        <v>994</v>
      </c>
      <c r="C77" s="28" t="s">
        <v>371</v>
      </c>
      <c r="D77" s="28" t="s">
        <v>1903</v>
      </c>
      <c r="E77" s="3" t="s">
        <v>2825</v>
      </c>
      <c r="F77" s="27">
        <v>1</v>
      </c>
      <c r="G77" s="28" t="s">
        <v>371</v>
      </c>
      <c r="H77" s="29"/>
    </row>
    <row r="78" spans="1:8" s="22" customFormat="1" ht="15.9" customHeight="1">
      <c r="A78" s="27">
        <v>74</v>
      </c>
      <c r="B78" s="3" t="s">
        <v>995</v>
      </c>
      <c r="C78" s="28" t="s">
        <v>3679</v>
      </c>
      <c r="D78" s="28" t="s">
        <v>1904</v>
      </c>
      <c r="E78" s="3" t="s">
        <v>2826</v>
      </c>
      <c r="F78" s="27">
        <v>1</v>
      </c>
      <c r="G78" s="28" t="s">
        <v>371</v>
      </c>
      <c r="H78" s="29"/>
    </row>
    <row r="79" spans="1:8" s="22" customFormat="1" ht="15.9" customHeight="1">
      <c r="A79" s="27">
        <v>75</v>
      </c>
      <c r="B79" s="3" t="s">
        <v>996</v>
      </c>
      <c r="C79" s="28" t="s">
        <v>371</v>
      </c>
      <c r="D79" s="28" t="s">
        <v>1905</v>
      </c>
      <c r="E79" s="3" t="s">
        <v>2827</v>
      </c>
      <c r="F79" s="27">
        <v>1</v>
      </c>
      <c r="G79" s="28" t="s">
        <v>371</v>
      </c>
      <c r="H79" s="29"/>
    </row>
    <row r="80" spans="1:8" s="22" customFormat="1" ht="15.9" customHeight="1">
      <c r="A80" s="27">
        <v>76</v>
      </c>
      <c r="B80" s="3" t="s">
        <v>997</v>
      </c>
      <c r="C80" s="28" t="s">
        <v>4954</v>
      </c>
      <c r="D80" s="28" t="s">
        <v>1906</v>
      </c>
      <c r="E80" s="3" t="s">
        <v>2828</v>
      </c>
      <c r="F80" s="27">
        <v>1</v>
      </c>
      <c r="G80" s="28" t="s">
        <v>371</v>
      </c>
      <c r="H80" s="29"/>
    </row>
    <row r="81" spans="1:8" s="22" customFormat="1" ht="15.9" customHeight="1">
      <c r="A81" s="27">
        <v>77</v>
      </c>
      <c r="B81" s="3" t="s">
        <v>4480</v>
      </c>
      <c r="C81" s="28" t="s">
        <v>2115</v>
      </c>
      <c r="D81" s="28" t="s">
        <v>4481</v>
      </c>
      <c r="E81" s="3" t="s">
        <v>4482</v>
      </c>
      <c r="F81" s="27">
        <v>1</v>
      </c>
      <c r="G81" s="28" t="s">
        <v>4335</v>
      </c>
      <c r="H81" s="29"/>
    </row>
    <row r="82" spans="1:8" s="22" customFormat="1" ht="15.9" customHeight="1">
      <c r="A82" s="27">
        <v>78</v>
      </c>
      <c r="B82" s="3" t="s">
        <v>998</v>
      </c>
      <c r="C82" s="28" t="s">
        <v>371</v>
      </c>
      <c r="D82" s="28" t="s">
        <v>1907</v>
      </c>
      <c r="E82" s="3" t="s">
        <v>2829</v>
      </c>
      <c r="F82" s="27">
        <v>1</v>
      </c>
      <c r="G82" s="28" t="s">
        <v>371</v>
      </c>
      <c r="H82" s="29"/>
    </row>
    <row r="83" spans="1:8" s="22" customFormat="1" ht="15.9" customHeight="1">
      <c r="A83" s="27">
        <v>79</v>
      </c>
      <c r="B83" s="3" t="s">
        <v>4483</v>
      </c>
      <c r="C83" s="28" t="s">
        <v>4926</v>
      </c>
      <c r="D83" s="28" t="s">
        <v>4484</v>
      </c>
      <c r="E83" s="3" t="s">
        <v>4485</v>
      </c>
      <c r="F83" s="27">
        <v>1</v>
      </c>
      <c r="G83" s="28" t="s">
        <v>371</v>
      </c>
      <c r="H83" s="29"/>
    </row>
    <row r="84" spans="1:8" s="22" customFormat="1" ht="15.9" customHeight="1">
      <c r="A84" s="27">
        <v>80</v>
      </c>
      <c r="B84" s="3" t="s">
        <v>999</v>
      </c>
      <c r="C84" s="28" t="s">
        <v>118</v>
      </c>
      <c r="D84" s="28" t="s">
        <v>1908</v>
      </c>
      <c r="E84" s="3" t="s">
        <v>2830</v>
      </c>
      <c r="F84" s="27">
        <v>1</v>
      </c>
      <c r="G84" s="28" t="s">
        <v>371</v>
      </c>
      <c r="H84" s="29"/>
    </row>
    <row r="85" spans="1:8" s="22" customFormat="1" ht="15.9" customHeight="1">
      <c r="A85" s="27">
        <v>81</v>
      </c>
      <c r="B85" s="3" t="s">
        <v>1000</v>
      </c>
      <c r="C85" s="28" t="s">
        <v>371</v>
      </c>
      <c r="D85" s="28" t="s">
        <v>1909</v>
      </c>
      <c r="E85" s="3" t="s">
        <v>2831</v>
      </c>
      <c r="F85" s="27">
        <v>1</v>
      </c>
      <c r="G85" s="28" t="s">
        <v>371</v>
      </c>
      <c r="H85" s="29"/>
    </row>
    <row r="86" spans="1:8" s="22" customFormat="1" ht="15.9" customHeight="1">
      <c r="A86" s="27">
        <v>82</v>
      </c>
      <c r="B86" s="3" t="s">
        <v>4486</v>
      </c>
      <c r="C86" s="28" t="s">
        <v>371</v>
      </c>
      <c r="D86" s="28" t="s">
        <v>4487</v>
      </c>
      <c r="E86" s="3" t="s">
        <v>4488</v>
      </c>
      <c r="F86" s="27">
        <v>1</v>
      </c>
      <c r="G86" s="28" t="s">
        <v>371</v>
      </c>
      <c r="H86" s="29"/>
    </row>
    <row r="87" spans="1:8" s="22" customFormat="1" ht="15.9" customHeight="1">
      <c r="A87" s="27">
        <v>83</v>
      </c>
      <c r="B87" s="3" t="s">
        <v>1001</v>
      </c>
      <c r="C87" s="28" t="s">
        <v>3680</v>
      </c>
      <c r="D87" s="28" t="s">
        <v>1910</v>
      </c>
      <c r="E87" s="3" t="s">
        <v>2832</v>
      </c>
      <c r="F87" s="27">
        <v>1</v>
      </c>
      <c r="G87" s="28" t="s">
        <v>371</v>
      </c>
      <c r="H87" s="29"/>
    </row>
    <row r="88" spans="1:8" s="22" customFormat="1" ht="15.9" customHeight="1">
      <c r="A88" s="27">
        <v>84</v>
      </c>
      <c r="B88" s="3" t="s">
        <v>1002</v>
      </c>
      <c r="C88" s="28" t="s">
        <v>3677</v>
      </c>
      <c r="D88" s="28" t="s">
        <v>1911</v>
      </c>
      <c r="E88" s="3" t="s">
        <v>2833</v>
      </c>
      <c r="F88" s="27">
        <v>1</v>
      </c>
      <c r="G88" s="28" t="s">
        <v>371</v>
      </c>
      <c r="H88" s="29"/>
    </row>
    <row r="89" spans="1:8" s="22" customFormat="1" ht="15.9" customHeight="1">
      <c r="A89" s="27">
        <v>85</v>
      </c>
      <c r="B89" s="3" t="s">
        <v>1003</v>
      </c>
      <c r="C89" s="28" t="s">
        <v>3681</v>
      </c>
      <c r="D89" s="28" t="s">
        <v>1912</v>
      </c>
      <c r="E89" s="3" t="s">
        <v>2834</v>
      </c>
      <c r="F89" s="27">
        <v>1</v>
      </c>
      <c r="G89" s="28" t="s">
        <v>371</v>
      </c>
      <c r="H89" s="29"/>
    </row>
    <row r="90" spans="1:8" s="22" customFormat="1" ht="15.9" customHeight="1">
      <c r="A90" s="27">
        <v>86</v>
      </c>
      <c r="B90" s="3" t="s">
        <v>1004</v>
      </c>
      <c r="C90" s="28" t="s">
        <v>4927</v>
      </c>
      <c r="D90" s="28" t="s">
        <v>1913</v>
      </c>
      <c r="E90" s="3" t="s">
        <v>2835</v>
      </c>
      <c r="F90" s="27">
        <v>1</v>
      </c>
      <c r="G90" s="28" t="s">
        <v>371</v>
      </c>
      <c r="H90" s="29"/>
    </row>
    <row r="91" spans="1:8" s="22" customFormat="1" ht="15.9" customHeight="1">
      <c r="A91" s="27">
        <v>87</v>
      </c>
      <c r="B91" s="3" t="s">
        <v>1005</v>
      </c>
      <c r="C91" s="28" t="s">
        <v>371</v>
      </c>
      <c r="D91" s="28" t="s">
        <v>1914</v>
      </c>
      <c r="E91" s="3" t="s">
        <v>2836</v>
      </c>
      <c r="F91" s="27">
        <v>1</v>
      </c>
      <c r="G91" s="28" t="s">
        <v>371</v>
      </c>
      <c r="H91" s="29"/>
    </row>
    <row r="92" spans="1:8" s="22" customFormat="1" ht="15.9" customHeight="1">
      <c r="A92" s="27">
        <v>88</v>
      </c>
      <c r="B92" s="3" t="s">
        <v>1006</v>
      </c>
      <c r="C92" s="28" t="s">
        <v>371</v>
      </c>
      <c r="D92" s="28" t="s">
        <v>1915</v>
      </c>
      <c r="E92" s="3" t="s">
        <v>2837</v>
      </c>
      <c r="F92" s="27">
        <v>1</v>
      </c>
      <c r="G92" s="28" t="s">
        <v>371</v>
      </c>
      <c r="H92" s="29"/>
    </row>
    <row r="93" spans="1:8" s="22" customFormat="1" ht="15.9" customHeight="1">
      <c r="A93" s="27">
        <v>89</v>
      </c>
      <c r="B93" s="3" t="s">
        <v>1007</v>
      </c>
      <c r="C93" s="28" t="s">
        <v>371</v>
      </c>
      <c r="D93" s="28" t="s">
        <v>1916</v>
      </c>
      <c r="E93" s="3" t="s">
        <v>2838</v>
      </c>
      <c r="F93" s="27">
        <v>1</v>
      </c>
      <c r="G93" s="28" t="s">
        <v>371</v>
      </c>
      <c r="H93" s="29"/>
    </row>
    <row r="94" spans="1:8" s="22" customFormat="1" ht="15.9" customHeight="1">
      <c r="A94" s="27">
        <v>90</v>
      </c>
      <c r="B94" s="3" t="s">
        <v>1008</v>
      </c>
      <c r="C94" s="28" t="s">
        <v>4489</v>
      </c>
      <c r="D94" s="28" t="s">
        <v>1917</v>
      </c>
      <c r="E94" s="3" t="s">
        <v>2839</v>
      </c>
      <c r="F94" s="27">
        <v>1</v>
      </c>
      <c r="G94" s="28" t="s">
        <v>371</v>
      </c>
      <c r="H94" s="29"/>
    </row>
    <row r="95" spans="1:8" s="22" customFormat="1" ht="15.9" customHeight="1">
      <c r="A95" s="27">
        <v>91</v>
      </c>
      <c r="B95" s="3" t="s">
        <v>1009</v>
      </c>
      <c r="C95" s="28" t="s">
        <v>3682</v>
      </c>
      <c r="D95" s="28" t="s">
        <v>1918</v>
      </c>
      <c r="E95" s="3" t="s">
        <v>2840</v>
      </c>
      <c r="F95" s="27">
        <v>1</v>
      </c>
      <c r="G95" s="28" t="s">
        <v>371</v>
      </c>
      <c r="H95" s="29"/>
    </row>
    <row r="96" spans="1:8" s="22" customFormat="1" ht="15.9" customHeight="1">
      <c r="A96" s="27">
        <v>92</v>
      </c>
      <c r="B96" s="3" t="s">
        <v>1010</v>
      </c>
      <c r="C96" s="28" t="s">
        <v>371</v>
      </c>
      <c r="D96" s="28" t="s">
        <v>1919</v>
      </c>
      <c r="E96" s="3" t="s">
        <v>2841</v>
      </c>
      <c r="F96" s="27">
        <v>1</v>
      </c>
      <c r="G96" s="28" t="s">
        <v>371</v>
      </c>
      <c r="H96" s="29"/>
    </row>
    <row r="97" spans="1:8" s="22" customFormat="1" ht="15.9" customHeight="1">
      <c r="A97" s="27">
        <v>93</v>
      </c>
      <c r="B97" s="3" t="s">
        <v>1011</v>
      </c>
      <c r="C97" s="28" t="s">
        <v>3683</v>
      </c>
      <c r="D97" s="28" t="s">
        <v>1920</v>
      </c>
      <c r="E97" s="3" t="s">
        <v>2842</v>
      </c>
      <c r="F97" s="27">
        <v>1</v>
      </c>
      <c r="G97" s="28" t="s">
        <v>371</v>
      </c>
      <c r="H97" s="29"/>
    </row>
    <row r="98" spans="1:8" s="22" customFormat="1" ht="15.9" customHeight="1">
      <c r="A98" s="27">
        <v>94</v>
      </c>
      <c r="B98" s="3" t="s">
        <v>1012</v>
      </c>
      <c r="C98" s="28" t="s">
        <v>4490</v>
      </c>
      <c r="D98" s="28" t="s">
        <v>1921</v>
      </c>
      <c r="E98" s="3" t="s">
        <v>2843</v>
      </c>
      <c r="F98" s="27">
        <v>1</v>
      </c>
      <c r="G98" s="28" t="s">
        <v>371</v>
      </c>
      <c r="H98" s="29"/>
    </row>
    <row r="99" spans="1:8" s="22" customFormat="1" ht="15.9" customHeight="1">
      <c r="A99" s="27">
        <v>95</v>
      </c>
      <c r="B99" s="3" t="s">
        <v>1013</v>
      </c>
      <c r="C99" s="28" t="s">
        <v>4491</v>
      </c>
      <c r="D99" s="28" t="s">
        <v>1922</v>
      </c>
      <c r="E99" s="3" t="s">
        <v>2844</v>
      </c>
      <c r="F99" s="27">
        <v>1</v>
      </c>
      <c r="G99" s="28" t="s">
        <v>371</v>
      </c>
      <c r="H99" s="29"/>
    </row>
    <row r="100" spans="1:8" s="22" customFormat="1" ht="15.9" customHeight="1">
      <c r="A100" s="27">
        <v>96</v>
      </c>
      <c r="B100" s="3" t="s">
        <v>1014</v>
      </c>
      <c r="C100" s="28" t="s">
        <v>3684</v>
      </c>
      <c r="D100" s="28" t="s">
        <v>1923</v>
      </c>
      <c r="E100" s="3" t="s">
        <v>2845</v>
      </c>
      <c r="F100" s="27">
        <v>1</v>
      </c>
      <c r="G100" s="28" t="s">
        <v>371</v>
      </c>
      <c r="H100" s="29"/>
    </row>
    <row r="101" spans="1:8" s="22" customFormat="1" ht="15.9" customHeight="1">
      <c r="A101" s="27">
        <v>97</v>
      </c>
      <c r="B101" s="3" t="s">
        <v>1015</v>
      </c>
      <c r="C101" s="28" t="s">
        <v>3685</v>
      </c>
      <c r="D101" s="28" t="s">
        <v>1924</v>
      </c>
      <c r="E101" s="3" t="s">
        <v>2846</v>
      </c>
      <c r="F101" s="27">
        <v>1</v>
      </c>
      <c r="G101" s="28" t="s">
        <v>371</v>
      </c>
      <c r="H101" s="29"/>
    </row>
    <row r="102" spans="1:8" s="22" customFormat="1" ht="15.9" customHeight="1">
      <c r="A102" s="27">
        <v>98</v>
      </c>
      <c r="B102" s="3" t="s">
        <v>1016</v>
      </c>
      <c r="C102" s="28" t="s">
        <v>3686</v>
      </c>
      <c r="D102" s="28" t="s">
        <v>1925</v>
      </c>
      <c r="E102" s="3" t="s">
        <v>2847</v>
      </c>
      <c r="F102" s="27">
        <v>1</v>
      </c>
      <c r="G102" s="28" t="s">
        <v>371</v>
      </c>
      <c r="H102" s="29"/>
    </row>
    <row r="103" spans="1:8" s="22" customFormat="1" ht="15.9" customHeight="1">
      <c r="A103" s="27">
        <v>99</v>
      </c>
      <c r="B103" s="3" t="s">
        <v>1017</v>
      </c>
      <c r="C103" s="28" t="s">
        <v>371</v>
      </c>
      <c r="D103" s="28" t="s">
        <v>1926</v>
      </c>
      <c r="E103" s="3" t="s">
        <v>2848</v>
      </c>
      <c r="F103" s="27">
        <v>1</v>
      </c>
      <c r="G103" s="28" t="s">
        <v>371</v>
      </c>
      <c r="H103" s="29"/>
    </row>
    <row r="104" spans="1:8" s="22" customFormat="1" ht="15.9" customHeight="1">
      <c r="A104" s="27">
        <v>100</v>
      </c>
      <c r="B104" s="3" t="s">
        <v>1018</v>
      </c>
      <c r="C104" s="28" t="s">
        <v>3687</v>
      </c>
      <c r="D104" s="28" t="s">
        <v>1927</v>
      </c>
      <c r="E104" s="3" t="s">
        <v>2849</v>
      </c>
      <c r="F104" s="27">
        <v>1</v>
      </c>
      <c r="G104" s="28" t="s">
        <v>371</v>
      </c>
      <c r="H104" s="29"/>
    </row>
    <row r="105" spans="1:8" s="22" customFormat="1" ht="15.9" customHeight="1">
      <c r="A105" s="27">
        <v>101</v>
      </c>
      <c r="B105" s="3" t="s">
        <v>4492</v>
      </c>
      <c r="C105" s="28" t="s">
        <v>4493</v>
      </c>
      <c r="D105" s="28" t="s">
        <v>4494</v>
      </c>
      <c r="E105" s="3" t="s">
        <v>4495</v>
      </c>
      <c r="F105" s="27">
        <v>1</v>
      </c>
      <c r="G105" s="28" t="s">
        <v>371</v>
      </c>
      <c r="H105" s="29"/>
    </row>
    <row r="106" spans="1:8" s="22" customFormat="1" ht="15.9" customHeight="1">
      <c r="A106" s="27">
        <v>102</v>
      </c>
      <c r="B106" s="3" t="s">
        <v>1019</v>
      </c>
      <c r="C106" s="28" t="s">
        <v>3684</v>
      </c>
      <c r="D106" s="28" t="s">
        <v>1928</v>
      </c>
      <c r="E106" s="3" t="s">
        <v>2850</v>
      </c>
      <c r="F106" s="27">
        <v>1</v>
      </c>
      <c r="G106" s="28" t="s">
        <v>371</v>
      </c>
      <c r="H106" s="29"/>
    </row>
    <row r="107" spans="1:8" s="22" customFormat="1" ht="15.9" customHeight="1">
      <c r="A107" s="27">
        <v>103</v>
      </c>
      <c r="B107" s="3" t="s">
        <v>1020</v>
      </c>
      <c r="C107" s="28" t="s">
        <v>4496</v>
      </c>
      <c r="D107" s="28" t="s">
        <v>1929</v>
      </c>
      <c r="E107" s="3" t="s">
        <v>2851</v>
      </c>
      <c r="F107" s="27">
        <v>1</v>
      </c>
      <c r="G107" s="28" t="s">
        <v>371</v>
      </c>
      <c r="H107" s="29"/>
    </row>
    <row r="108" spans="1:8" s="22" customFormat="1" ht="15.9" customHeight="1">
      <c r="A108" s="27">
        <v>104</v>
      </c>
      <c r="B108" s="3" t="s">
        <v>1021</v>
      </c>
      <c r="C108" s="28" t="s">
        <v>3688</v>
      </c>
      <c r="D108" s="28" t="s">
        <v>1930</v>
      </c>
      <c r="E108" s="3" t="s">
        <v>2852</v>
      </c>
      <c r="F108" s="27">
        <v>1</v>
      </c>
      <c r="G108" s="28" t="s">
        <v>371</v>
      </c>
      <c r="H108" s="29"/>
    </row>
    <row r="109" spans="1:8" s="22" customFormat="1" ht="15.9" customHeight="1">
      <c r="A109" s="27">
        <v>105</v>
      </c>
      <c r="B109" s="3" t="s">
        <v>1022</v>
      </c>
      <c r="C109" s="28" t="s">
        <v>3689</v>
      </c>
      <c r="D109" s="28" t="s">
        <v>1931</v>
      </c>
      <c r="E109" s="3" t="s">
        <v>2853</v>
      </c>
      <c r="F109" s="27">
        <v>1</v>
      </c>
      <c r="G109" s="28" t="s">
        <v>371</v>
      </c>
      <c r="H109" s="29"/>
    </row>
    <row r="110" spans="1:8" s="22" customFormat="1" ht="15.9" customHeight="1">
      <c r="A110" s="27">
        <v>106</v>
      </c>
      <c r="B110" s="3" t="s">
        <v>1023</v>
      </c>
      <c r="C110" s="28" t="s">
        <v>3690</v>
      </c>
      <c r="D110" s="28" t="s">
        <v>1932</v>
      </c>
      <c r="E110" s="3" t="s">
        <v>2854</v>
      </c>
      <c r="F110" s="27">
        <v>1</v>
      </c>
      <c r="G110" s="28" t="s">
        <v>371</v>
      </c>
      <c r="H110" s="29"/>
    </row>
    <row r="111" spans="1:8" s="22" customFormat="1" ht="15.9" customHeight="1">
      <c r="A111" s="27">
        <v>107</v>
      </c>
      <c r="B111" s="3" t="s">
        <v>1024</v>
      </c>
      <c r="C111" s="28" t="s">
        <v>4497</v>
      </c>
      <c r="D111" s="28" t="s">
        <v>1933</v>
      </c>
      <c r="E111" s="3" t="s">
        <v>2855</v>
      </c>
      <c r="F111" s="27">
        <v>1</v>
      </c>
      <c r="G111" s="28" t="s">
        <v>371</v>
      </c>
      <c r="H111" s="29"/>
    </row>
    <row r="112" spans="1:8" s="22" customFormat="1" ht="15.9" customHeight="1">
      <c r="A112" s="27">
        <v>108</v>
      </c>
      <c r="B112" s="3" t="s">
        <v>1025</v>
      </c>
      <c r="C112" s="28" t="s">
        <v>371</v>
      </c>
      <c r="D112" s="28" t="s">
        <v>1934</v>
      </c>
      <c r="E112" s="3" t="s">
        <v>2856</v>
      </c>
      <c r="F112" s="27">
        <v>1</v>
      </c>
      <c r="G112" s="28" t="s">
        <v>371</v>
      </c>
      <c r="H112" s="29"/>
    </row>
    <row r="113" spans="1:8" s="22" customFormat="1" ht="15.9" customHeight="1">
      <c r="A113" s="27">
        <v>109</v>
      </c>
      <c r="B113" s="3" t="s">
        <v>1026</v>
      </c>
      <c r="C113" s="28" t="s">
        <v>371</v>
      </c>
      <c r="D113" s="28" t="s">
        <v>1935</v>
      </c>
      <c r="E113" s="3" t="s">
        <v>2857</v>
      </c>
      <c r="F113" s="27">
        <v>1</v>
      </c>
      <c r="G113" s="28" t="s">
        <v>371</v>
      </c>
      <c r="H113" s="29"/>
    </row>
    <row r="114" spans="1:8" s="22" customFormat="1" ht="15.9" customHeight="1">
      <c r="A114" s="27">
        <v>110</v>
      </c>
      <c r="B114" s="3" t="s">
        <v>1027</v>
      </c>
      <c r="C114" s="28" t="s">
        <v>3691</v>
      </c>
      <c r="D114" s="28" t="s">
        <v>1936</v>
      </c>
      <c r="E114" s="3" t="s">
        <v>2858</v>
      </c>
      <c r="F114" s="27">
        <v>1</v>
      </c>
      <c r="G114" s="28" t="s">
        <v>371</v>
      </c>
      <c r="H114" s="29"/>
    </row>
    <row r="115" spans="1:8" s="22" customFormat="1" ht="15.9" customHeight="1">
      <c r="A115" s="27">
        <v>111</v>
      </c>
      <c r="B115" s="3" t="s">
        <v>1028</v>
      </c>
      <c r="C115" s="28" t="s">
        <v>3692</v>
      </c>
      <c r="D115" s="28" t="s">
        <v>1937</v>
      </c>
      <c r="E115" s="3" t="s">
        <v>2859</v>
      </c>
      <c r="F115" s="27">
        <v>1</v>
      </c>
      <c r="G115" s="28" t="s">
        <v>371</v>
      </c>
      <c r="H115" s="29"/>
    </row>
    <row r="116" spans="1:8" s="22" customFormat="1" ht="15.9" customHeight="1">
      <c r="A116" s="27">
        <v>112</v>
      </c>
      <c r="B116" s="3" t="s">
        <v>1029</v>
      </c>
      <c r="C116" s="28" t="s">
        <v>371</v>
      </c>
      <c r="D116" s="28" t="s">
        <v>1938</v>
      </c>
      <c r="E116" s="3" t="s">
        <v>2860</v>
      </c>
      <c r="F116" s="27">
        <v>1</v>
      </c>
      <c r="G116" s="28" t="s">
        <v>371</v>
      </c>
      <c r="H116" s="29"/>
    </row>
    <row r="117" spans="1:8" s="22" customFormat="1" ht="15.9" customHeight="1">
      <c r="A117" s="27">
        <v>113</v>
      </c>
      <c r="B117" s="3" t="s">
        <v>1030</v>
      </c>
      <c r="C117" s="28" t="s">
        <v>371</v>
      </c>
      <c r="D117" s="28" t="s">
        <v>1939</v>
      </c>
      <c r="E117" s="3" t="s">
        <v>2861</v>
      </c>
      <c r="F117" s="27">
        <v>1</v>
      </c>
      <c r="G117" s="28" t="s">
        <v>371</v>
      </c>
      <c r="H117" s="29"/>
    </row>
    <row r="118" spans="1:8" s="22" customFormat="1" ht="15.9" customHeight="1">
      <c r="A118" s="27">
        <v>114</v>
      </c>
      <c r="B118" s="3" t="s">
        <v>1031</v>
      </c>
      <c r="C118" s="28" t="s">
        <v>371</v>
      </c>
      <c r="D118" s="28" t="s">
        <v>1940</v>
      </c>
      <c r="E118" s="3" t="s">
        <v>2862</v>
      </c>
      <c r="F118" s="27">
        <v>1</v>
      </c>
      <c r="G118" s="28" t="s">
        <v>371</v>
      </c>
      <c r="H118" s="29"/>
    </row>
    <row r="119" spans="1:8" s="22" customFormat="1" ht="15.9" customHeight="1">
      <c r="A119" s="27">
        <v>115</v>
      </c>
      <c r="B119" s="3" t="s">
        <v>1032</v>
      </c>
      <c r="C119" s="28" t="s">
        <v>3684</v>
      </c>
      <c r="D119" s="28" t="s">
        <v>1941</v>
      </c>
      <c r="E119" s="3" t="s">
        <v>2863</v>
      </c>
      <c r="F119" s="27">
        <v>1</v>
      </c>
      <c r="G119" s="28" t="s">
        <v>371</v>
      </c>
      <c r="H119" s="29"/>
    </row>
    <row r="120" spans="1:8" s="22" customFormat="1" ht="15.9" customHeight="1">
      <c r="A120" s="27">
        <v>116</v>
      </c>
      <c r="B120" s="3" t="s">
        <v>1033</v>
      </c>
      <c r="C120" s="28" t="s">
        <v>3693</v>
      </c>
      <c r="D120" s="28" t="s">
        <v>1942</v>
      </c>
      <c r="E120" s="3" t="s">
        <v>2864</v>
      </c>
      <c r="F120" s="27">
        <v>1</v>
      </c>
      <c r="G120" s="28" t="s">
        <v>371</v>
      </c>
      <c r="H120" s="29"/>
    </row>
    <row r="121" spans="1:8" s="22" customFormat="1" ht="15.9" customHeight="1">
      <c r="A121" s="27">
        <v>117</v>
      </c>
      <c r="B121" s="3" t="s">
        <v>1034</v>
      </c>
      <c r="C121" s="28" t="s">
        <v>3694</v>
      </c>
      <c r="D121" s="28" t="s">
        <v>1943</v>
      </c>
      <c r="E121" s="3" t="s">
        <v>2865</v>
      </c>
      <c r="F121" s="27">
        <v>1</v>
      </c>
      <c r="G121" s="28" t="s">
        <v>371</v>
      </c>
      <c r="H121" s="29"/>
    </row>
    <row r="122" spans="1:8" s="22" customFormat="1" ht="15.9" customHeight="1">
      <c r="A122" s="27">
        <v>118</v>
      </c>
      <c r="B122" s="3" t="s">
        <v>1035</v>
      </c>
      <c r="C122" s="28" t="s">
        <v>3695</v>
      </c>
      <c r="D122" s="28" t="s">
        <v>1944</v>
      </c>
      <c r="E122" s="3" t="s">
        <v>2866</v>
      </c>
      <c r="F122" s="27">
        <v>1</v>
      </c>
      <c r="G122" s="28" t="s">
        <v>371</v>
      </c>
      <c r="H122" s="29"/>
    </row>
    <row r="123" spans="1:8" s="22" customFormat="1" ht="15.9" customHeight="1">
      <c r="A123" s="27">
        <v>119</v>
      </c>
      <c r="B123" s="3" t="s">
        <v>1036</v>
      </c>
      <c r="C123" s="28" t="s">
        <v>371</v>
      </c>
      <c r="D123" s="28" t="s">
        <v>1945</v>
      </c>
      <c r="E123" s="3" t="s">
        <v>2867</v>
      </c>
      <c r="F123" s="27">
        <v>1</v>
      </c>
      <c r="G123" s="28" t="s">
        <v>371</v>
      </c>
      <c r="H123" s="29"/>
    </row>
    <row r="124" spans="1:8" s="22" customFormat="1" ht="15.9" customHeight="1">
      <c r="A124" s="27">
        <v>120</v>
      </c>
      <c r="B124" s="3" t="s">
        <v>1037</v>
      </c>
      <c r="C124" s="28" t="s">
        <v>371</v>
      </c>
      <c r="D124" s="28" t="s">
        <v>1946</v>
      </c>
      <c r="E124" s="3" t="s">
        <v>2868</v>
      </c>
      <c r="F124" s="27">
        <v>1</v>
      </c>
      <c r="G124" s="28" t="s">
        <v>371</v>
      </c>
      <c r="H124" s="29"/>
    </row>
    <row r="125" spans="1:8" s="22" customFormat="1" ht="15.9" customHeight="1">
      <c r="A125" s="27">
        <v>121</v>
      </c>
      <c r="B125" s="3" t="s">
        <v>1038</v>
      </c>
      <c r="C125" s="28" t="s">
        <v>4498</v>
      </c>
      <c r="D125" s="28" t="s">
        <v>1947</v>
      </c>
      <c r="E125" s="3" t="s">
        <v>2869</v>
      </c>
      <c r="F125" s="27">
        <v>1</v>
      </c>
      <c r="G125" s="28" t="s">
        <v>371</v>
      </c>
      <c r="H125" s="29"/>
    </row>
    <row r="126" spans="1:8" s="22" customFormat="1" ht="15.9" customHeight="1">
      <c r="A126" s="27">
        <v>122</v>
      </c>
      <c r="B126" s="3" t="s">
        <v>1039</v>
      </c>
      <c r="C126" s="28" t="s">
        <v>371</v>
      </c>
      <c r="D126" s="28" t="s">
        <v>1948</v>
      </c>
      <c r="E126" s="3" t="s">
        <v>2870</v>
      </c>
      <c r="F126" s="27">
        <v>1</v>
      </c>
      <c r="G126" s="28" t="s">
        <v>371</v>
      </c>
      <c r="H126" s="29"/>
    </row>
    <row r="127" spans="1:8" s="22" customFormat="1" ht="15.9" customHeight="1">
      <c r="A127" s="27">
        <v>123</v>
      </c>
      <c r="B127" s="3" t="s">
        <v>1040</v>
      </c>
      <c r="C127" s="28" t="s">
        <v>371</v>
      </c>
      <c r="D127" s="28" t="s">
        <v>1949</v>
      </c>
      <c r="E127" s="3" t="s">
        <v>2871</v>
      </c>
      <c r="F127" s="27">
        <v>1</v>
      </c>
      <c r="G127" s="28" t="s">
        <v>371</v>
      </c>
      <c r="H127" s="29"/>
    </row>
    <row r="128" spans="1:8" s="22" customFormat="1" ht="15.9" customHeight="1">
      <c r="A128" s="27">
        <v>124</v>
      </c>
      <c r="B128" s="3" t="s">
        <v>1041</v>
      </c>
      <c r="C128" s="28" t="s">
        <v>371</v>
      </c>
      <c r="D128" s="28" t="s">
        <v>1950</v>
      </c>
      <c r="E128" s="3" t="s">
        <v>2872</v>
      </c>
      <c r="F128" s="27">
        <v>1</v>
      </c>
      <c r="G128" s="28" t="s">
        <v>371</v>
      </c>
      <c r="H128" s="29"/>
    </row>
    <row r="129" spans="1:8" s="22" customFormat="1" ht="15.9" customHeight="1">
      <c r="A129" s="27">
        <v>125</v>
      </c>
      <c r="B129" s="3" t="s">
        <v>1042</v>
      </c>
      <c r="C129" s="28" t="s">
        <v>3696</v>
      </c>
      <c r="D129" s="28" t="s">
        <v>1951</v>
      </c>
      <c r="E129" s="3" t="s">
        <v>2873</v>
      </c>
      <c r="F129" s="27">
        <v>1</v>
      </c>
      <c r="G129" s="28" t="s">
        <v>371</v>
      </c>
      <c r="H129" s="29"/>
    </row>
    <row r="130" spans="1:8" s="22" customFormat="1" ht="15.9" customHeight="1">
      <c r="A130" s="27">
        <v>126</v>
      </c>
      <c r="B130" s="3" t="s">
        <v>1043</v>
      </c>
      <c r="C130" s="28" t="s">
        <v>3677</v>
      </c>
      <c r="D130" s="28" t="s">
        <v>1952</v>
      </c>
      <c r="E130" s="3" t="s">
        <v>2874</v>
      </c>
      <c r="F130" s="27">
        <v>1</v>
      </c>
      <c r="G130" s="28" t="s">
        <v>371</v>
      </c>
      <c r="H130" s="29"/>
    </row>
    <row r="131" spans="1:8" s="22" customFormat="1" ht="15.9" customHeight="1">
      <c r="A131" s="27">
        <v>127</v>
      </c>
      <c r="B131" s="3" t="s">
        <v>1044</v>
      </c>
      <c r="C131" s="28" t="s">
        <v>3697</v>
      </c>
      <c r="D131" s="28" t="s">
        <v>1953</v>
      </c>
      <c r="E131" s="3" t="s">
        <v>2875</v>
      </c>
      <c r="F131" s="27">
        <v>1</v>
      </c>
      <c r="G131" s="28" t="s">
        <v>371</v>
      </c>
      <c r="H131" s="29"/>
    </row>
    <row r="132" spans="1:8" s="22" customFormat="1" ht="15.9" customHeight="1">
      <c r="A132" s="27">
        <v>128</v>
      </c>
      <c r="B132" s="3" t="s">
        <v>1045</v>
      </c>
      <c r="C132" s="28" t="s">
        <v>3698</v>
      </c>
      <c r="D132" s="28" t="s">
        <v>1954</v>
      </c>
      <c r="E132" s="3" t="s">
        <v>2876</v>
      </c>
      <c r="F132" s="27">
        <v>1</v>
      </c>
      <c r="G132" s="28" t="s">
        <v>371</v>
      </c>
      <c r="H132" s="29"/>
    </row>
    <row r="133" spans="1:8" s="22" customFormat="1" ht="15.9" customHeight="1">
      <c r="A133" s="27">
        <v>129</v>
      </c>
      <c r="B133" s="3" t="s">
        <v>1046</v>
      </c>
      <c r="C133" s="28" t="s">
        <v>3699</v>
      </c>
      <c r="D133" s="28" t="s">
        <v>1955</v>
      </c>
      <c r="E133" s="3" t="s">
        <v>2877</v>
      </c>
      <c r="F133" s="27">
        <v>1</v>
      </c>
      <c r="G133" s="28" t="s">
        <v>371</v>
      </c>
      <c r="H133" s="29"/>
    </row>
    <row r="134" spans="1:8" s="22" customFormat="1" ht="15.9" customHeight="1">
      <c r="A134" s="27">
        <v>130</v>
      </c>
      <c r="B134" s="3" t="s">
        <v>1047</v>
      </c>
      <c r="C134" s="28" t="s">
        <v>371</v>
      </c>
      <c r="D134" s="28" t="s">
        <v>1956</v>
      </c>
      <c r="E134" s="3" t="s">
        <v>2878</v>
      </c>
      <c r="F134" s="27">
        <v>1</v>
      </c>
      <c r="G134" s="28" t="s">
        <v>371</v>
      </c>
      <c r="H134" s="29"/>
    </row>
    <row r="135" spans="1:8" s="22" customFormat="1" ht="15.9" customHeight="1">
      <c r="A135" s="27">
        <v>131</v>
      </c>
      <c r="B135" s="3" t="s">
        <v>3792</v>
      </c>
      <c r="C135" s="28" t="s">
        <v>4499</v>
      </c>
      <c r="D135" s="28" t="s">
        <v>1957</v>
      </c>
      <c r="E135" s="3" t="s">
        <v>2879</v>
      </c>
      <c r="F135" s="27">
        <v>1</v>
      </c>
      <c r="G135" s="28" t="s">
        <v>371</v>
      </c>
      <c r="H135" s="29"/>
    </row>
    <row r="136" spans="1:8" s="22" customFormat="1" ht="15.9" customHeight="1">
      <c r="A136" s="27">
        <v>132</v>
      </c>
      <c r="B136" s="3" t="s">
        <v>1048</v>
      </c>
      <c r="C136" s="28" t="s">
        <v>371</v>
      </c>
      <c r="D136" s="28" t="s">
        <v>1958</v>
      </c>
      <c r="E136" s="3" t="s">
        <v>2880</v>
      </c>
      <c r="F136" s="27">
        <v>1</v>
      </c>
      <c r="G136" s="28" t="s">
        <v>371</v>
      </c>
      <c r="H136" s="29"/>
    </row>
    <row r="137" spans="1:8" s="22" customFormat="1" ht="15.9" customHeight="1">
      <c r="A137" s="27">
        <v>133</v>
      </c>
      <c r="B137" s="3" t="s">
        <v>1049</v>
      </c>
      <c r="C137" s="28" t="s">
        <v>371</v>
      </c>
      <c r="D137" s="28" t="s">
        <v>1959</v>
      </c>
      <c r="E137" s="3" t="s">
        <v>2881</v>
      </c>
      <c r="F137" s="27">
        <v>1</v>
      </c>
      <c r="G137" s="28" t="s">
        <v>371</v>
      </c>
      <c r="H137" s="29"/>
    </row>
    <row r="138" spans="1:8" s="22" customFormat="1" ht="15.9" customHeight="1">
      <c r="A138" s="27">
        <v>134</v>
      </c>
      <c r="B138" s="3" t="s">
        <v>4500</v>
      </c>
      <c r="C138" s="28" t="s">
        <v>4501</v>
      </c>
      <c r="D138" s="28" t="s">
        <v>4502</v>
      </c>
      <c r="E138" s="3" t="s">
        <v>4503</v>
      </c>
      <c r="F138" s="27">
        <v>1</v>
      </c>
      <c r="G138" s="28" t="s">
        <v>371</v>
      </c>
      <c r="H138" s="29"/>
    </row>
    <row r="139" spans="1:8" s="22" customFormat="1" ht="15.9" customHeight="1">
      <c r="A139" s="27">
        <v>135</v>
      </c>
      <c r="B139" s="3" t="s">
        <v>1050</v>
      </c>
      <c r="C139" s="28" t="s">
        <v>371</v>
      </c>
      <c r="D139" s="28" t="s">
        <v>1960</v>
      </c>
      <c r="E139" s="3" t="s">
        <v>2882</v>
      </c>
      <c r="F139" s="27">
        <v>1</v>
      </c>
      <c r="G139" s="28" t="s">
        <v>371</v>
      </c>
      <c r="H139" s="29"/>
    </row>
    <row r="140" spans="1:8" s="22" customFormat="1" ht="15.9" customHeight="1">
      <c r="A140" s="27">
        <v>136</v>
      </c>
      <c r="B140" s="3" t="s">
        <v>1051</v>
      </c>
      <c r="C140" s="28" t="s">
        <v>4951</v>
      </c>
      <c r="D140" s="28" t="s">
        <v>1961</v>
      </c>
      <c r="E140" s="3" t="s">
        <v>2883</v>
      </c>
      <c r="F140" s="27">
        <v>1</v>
      </c>
      <c r="G140" s="28" t="s">
        <v>371</v>
      </c>
      <c r="H140" s="29"/>
    </row>
    <row r="141" spans="1:8" s="22" customFormat="1" ht="15.9" customHeight="1">
      <c r="A141" s="27">
        <v>137</v>
      </c>
      <c r="B141" s="3" t="s">
        <v>1052</v>
      </c>
      <c r="C141" s="28" t="s">
        <v>4504</v>
      </c>
      <c r="D141" s="28" t="s">
        <v>1962</v>
      </c>
      <c r="E141" s="3" t="s">
        <v>2884</v>
      </c>
      <c r="F141" s="27">
        <v>1</v>
      </c>
      <c r="G141" s="28" t="s">
        <v>371</v>
      </c>
      <c r="H141" s="29"/>
    </row>
    <row r="142" spans="1:8" s="22" customFormat="1" ht="15.9" customHeight="1">
      <c r="A142" s="27">
        <v>138</v>
      </c>
      <c r="B142" s="3" t="s">
        <v>1053</v>
      </c>
      <c r="C142" s="28" t="s">
        <v>371</v>
      </c>
      <c r="D142" s="28" t="s">
        <v>1963</v>
      </c>
      <c r="E142" s="3" t="s">
        <v>2885</v>
      </c>
      <c r="F142" s="27">
        <v>1</v>
      </c>
      <c r="G142" s="28" t="s">
        <v>371</v>
      </c>
      <c r="H142" s="29"/>
    </row>
    <row r="143" spans="1:8" s="22" customFormat="1" ht="15.9" customHeight="1">
      <c r="A143" s="27">
        <v>139</v>
      </c>
      <c r="B143" s="3" t="s">
        <v>1054</v>
      </c>
      <c r="C143" s="28" t="s">
        <v>371</v>
      </c>
      <c r="D143" s="28" t="s">
        <v>1964</v>
      </c>
      <c r="E143" s="3" t="s">
        <v>2886</v>
      </c>
      <c r="F143" s="27">
        <v>1</v>
      </c>
      <c r="G143" s="28" t="s">
        <v>371</v>
      </c>
      <c r="H143" s="29"/>
    </row>
    <row r="144" spans="1:8" s="22" customFormat="1" ht="15.9" customHeight="1">
      <c r="A144" s="27">
        <v>140</v>
      </c>
      <c r="B144" s="3" t="s">
        <v>1055</v>
      </c>
      <c r="C144" s="28" t="s">
        <v>371</v>
      </c>
      <c r="D144" s="28" t="s">
        <v>1965</v>
      </c>
      <c r="E144" s="3" t="s">
        <v>2887</v>
      </c>
      <c r="F144" s="27">
        <v>1</v>
      </c>
      <c r="G144" s="28" t="s">
        <v>371</v>
      </c>
      <c r="H144" s="29"/>
    </row>
    <row r="145" spans="1:8" s="22" customFormat="1" ht="15.9" customHeight="1">
      <c r="A145" s="27">
        <v>141</v>
      </c>
      <c r="B145" s="3" t="s">
        <v>1056</v>
      </c>
      <c r="C145" s="28" t="s">
        <v>3700</v>
      </c>
      <c r="D145" s="28" t="s">
        <v>1966</v>
      </c>
      <c r="E145" s="3" t="s">
        <v>2888</v>
      </c>
      <c r="F145" s="27">
        <v>1</v>
      </c>
      <c r="G145" s="28" t="s">
        <v>371</v>
      </c>
      <c r="H145" s="29"/>
    </row>
    <row r="146" spans="1:8" s="22" customFormat="1" ht="15.9" customHeight="1">
      <c r="A146" s="27">
        <v>142</v>
      </c>
      <c r="B146" s="3" t="s">
        <v>1057</v>
      </c>
      <c r="C146" s="28" t="s">
        <v>3701</v>
      </c>
      <c r="D146" s="28" t="s">
        <v>1967</v>
      </c>
      <c r="E146" s="3" t="s">
        <v>2889</v>
      </c>
      <c r="F146" s="27">
        <v>1</v>
      </c>
      <c r="G146" s="28" t="s">
        <v>371</v>
      </c>
      <c r="H146" s="29"/>
    </row>
    <row r="147" spans="1:8" s="22" customFormat="1" ht="15.9" customHeight="1">
      <c r="A147" s="27">
        <v>143</v>
      </c>
      <c r="B147" s="3" t="s">
        <v>1058</v>
      </c>
      <c r="C147" s="28" t="s">
        <v>3702</v>
      </c>
      <c r="D147" s="28" t="s">
        <v>1968</v>
      </c>
      <c r="E147" s="3" t="s">
        <v>2890</v>
      </c>
      <c r="F147" s="27">
        <v>1</v>
      </c>
      <c r="G147" s="28" t="s">
        <v>371</v>
      </c>
      <c r="H147" s="29"/>
    </row>
    <row r="148" spans="1:8" s="22" customFormat="1" ht="15.9" customHeight="1">
      <c r="A148" s="27">
        <v>144</v>
      </c>
      <c r="B148" s="3" t="s">
        <v>1059</v>
      </c>
      <c r="C148" s="28" t="s">
        <v>3703</v>
      </c>
      <c r="D148" s="28" t="s">
        <v>1969</v>
      </c>
      <c r="E148" s="3" t="s">
        <v>2891</v>
      </c>
      <c r="F148" s="27">
        <v>1</v>
      </c>
      <c r="G148" s="28" t="s">
        <v>371</v>
      </c>
      <c r="H148" s="29"/>
    </row>
    <row r="149" spans="1:8" s="22" customFormat="1" ht="15.9" customHeight="1">
      <c r="A149" s="27">
        <v>145</v>
      </c>
      <c r="B149" s="3" t="s">
        <v>1060</v>
      </c>
      <c r="C149" s="28" t="s">
        <v>3704</v>
      </c>
      <c r="D149" s="28" t="s">
        <v>1970</v>
      </c>
      <c r="E149" s="3" t="s">
        <v>2892</v>
      </c>
      <c r="F149" s="27">
        <v>1</v>
      </c>
      <c r="G149" s="28" t="s">
        <v>371</v>
      </c>
      <c r="H149" s="29"/>
    </row>
    <row r="150" spans="1:8" s="22" customFormat="1" ht="15.9" customHeight="1">
      <c r="A150" s="27">
        <v>146</v>
      </c>
      <c r="B150" s="3" t="s">
        <v>1061</v>
      </c>
      <c r="C150" s="28" t="s">
        <v>3677</v>
      </c>
      <c r="D150" s="28" t="s">
        <v>1971</v>
      </c>
      <c r="E150" s="3" t="s">
        <v>2893</v>
      </c>
      <c r="F150" s="27">
        <v>1</v>
      </c>
      <c r="G150" s="28" t="s">
        <v>371</v>
      </c>
      <c r="H150" s="29"/>
    </row>
    <row r="151" spans="1:8" s="22" customFormat="1" ht="15.9" customHeight="1">
      <c r="A151" s="27">
        <v>147</v>
      </c>
      <c r="B151" s="3" t="s">
        <v>1062</v>
      </c>
      <c r="C151" s="28" t="s">
        <v>371</v>
      </c>
      <c r="D151" s="28" t="s">
        <v>1972</v>
      </c>
      <c r="E151" s="3" t="s">
        <v>2894</v>
      </c>
      <c r="F151" s="27">
        <v>1</v>
      </c>
      <c r="G151" s="28" t="s">
        <v>371</v>
      </c>
      <c r="H151" s="29"/>
    </row>
    <row r="152" spans="1:8" s="22" customFormat="1" ht="15.9" customHeight="1">
      <c r="A152" s="27">
        <v>148</v>
      </c>
      <c r="B152" s="3" t="s">
        <v>4505</v>
      </c>
      <c r="C152" s="28" t="s">
        <v>4506</v>
      </c>
      <c r="D152" s="28" t="s">
        <v>4507</v>
      </c>
      <c r="E152" s="3" t="s">
        <v>4508</v>
      </c>
      <c r="F152" s="27">
        <v>1</v>
      </c>
      <c r="G152" s="28" t="s">
        <v>371</v>
      </c>
      <c r="H152" s="29"/>
    </row>
    <row r="153" spans="1:8" s="22" customFormat="1" ht="15.9" customHeight="1">
      <c r="A153" s="27">
        <v>149</v>
      </c>
      <c r="B153" s="3" t="s">
        <v>1063</v>
      </c>
      <c r="C153" s="28" t="s">
        <v>3684</v>
      </c>
      <c r="D153" s="28" t="s">
        <v>1973</v>
      </c>
      <c r="E153" s="3" t="s">
        <v>2895</v>
      </c>
      <c r="F153" s="27">
        <v>1</v>
      </c>
      <c r="G153" s="28" t="s">
        <v>371</v>
      </c>
      <c r="H153" s="29"/>
    </row>
    <row r="154" spans="1:8" s="22" customFormat="1" ht="15.9" customHeight="1">
      <c r="A154" s="27">
        <v>150</v>
      </c>
      <c r="B154" s="3" t="s">
        <v>1064</v>
      </c>
      <c r="C154" s="28" t="s">
        <v>371</v>
      </c>
      <c r="D154" s="28" t="s">
        <v>1974</v>
      </c>
      <c r="E154" s="3" t="s">
        <v>2896</v>
      </c>
      <c r="F154" s="27">
        <v>1</v>
      </c>
      <c r="G154" s="28" t="s">
        <v>371</v>
      </c>
      <c r="H154" s="29"/>
    </row>
    <row r="155" spans="1:8" s="22" customFormat="1" ht="15.9" customHeight="1">
      <c r="A155" s="27">
        <v>151</v>
      </c>
      <c r="B155" s="3" t="s">
        <v>1065</v>
      </c>
      <c r="C155" s="28" t="s">
        <v>4945</v>
      </c>
      <c r="D155" s="28" t="s">
        <v>1975</v>
      </c>
      <c r="E155" s="3" t="s">
        <v>2897</v>
      </c>
      <c r="F155" s="27">
        <v>1</v>
      </c>
      <c r="G155" s="28" t="s">
        <v>371</v>
      </c>
      <c r="H155" s="29"/>
    </row>
    <row r="156" spans="1:8" s="22" customFormat="1" ht="15.9" customHeight="1">
      <c r="A156" s="27">
        <v>152</v>
      </c>
      <c r="B156" s="3" t="s">
        <v>1066</v>
      </c>
      <c r="C156" s="28" t="s">
        <v>1976</v>
      </c>
      <c r="D156" s="28" t="s">
        <v>1977</v>
      </c>
      <c r="E156" s="3" t="s">
        <v>2898</v>
      </c>
      <c r="F156" s="27">
        <v>1</v>
      </c>
      <c r="G156" s="28" t="s">
        <v>371</v>
      </c>
      <c r="H156" s="29"/>
    </row>
    <row r="157" spans="1:8" s="22" customFormat="1" ht="15.9" customHeight="1">
      <c r="A157" s="27">
        <v>153</v>
      </c>
      <c r="B157" s="3" t="s">
        <v>1067</v>
      </c>
      <c r="C157" s="28" t="s">
        <v>371</v>
      </c>
      <c r="D157" s="28" t="s">
        <v>1978</v>
      </c>
      <c r="E157" s="3" t="s">
        <v>2899</v>
      </c>
      <c r="F157" s="27">
        <v>1</v>
      </c>
      <c r="G157" s="28" t="s">
        <v>371</v>
      </c>
      <c r="H157" s="29"/>
    </row>
    <row r="158" spans="1:8" s="22" customFormat="1" ht="15.9" customHeight="1">
      <c r="A158" s="27">
        <v>154</v>
      </c>
      <c r="B158" s="3" t="s">
        <v>1068</v>
      </c>
      <c r="C158" s="28" t="s">
        <v>3705</v>
      </c>
      <c r="D158" s="28" t="s">
        <v>1979</v>
      </c>
      <c r="E158" s="3" t="s">
        <v>2900</v>
      </c>
      <c r="F158" s="27">
        <v>1</v>
      </c>
      <c r="G158" s="28" t="s">
        <v>371</v>
      </c>
      <c r="H158" s="29"/>
    </row>
    <row r="159" spans="1:8" s="22" customFormat="1" ht="15.9" customHeight="1">
      <c r="A159" s="27">
        <v>155</v>
      </c>
      <c r="B159" s="3" t="s">
        <v>1069</v>
      </c>
      <c r="C159" s="28" t="s">
        <v>371</v>
      </c>
      <c r="D159" s="28" t="s">
        <v>1980</v>
      </c>
      <c r="E159" s="3" t="s">
        <v>2901</v>
      </c>
      <c r="F159" s="27">
        <v>1</v>
      </c>
      <c r="G159" s="28" t="s">
        <v>371</v>
      </c>
      <c r="H159" s="29"/>
    </row>
    <row r="160" spans="1:8" s="22" customFormat="1" ht="15.9" customHeight="1">
      <c r="A160" s="27">
        <v>156</v>
      </c>
      <c r="B160" s="3" t="s">
        <v>1070</v>
      </c>
      <c r="C160" s="28" t="s">
        <v>371</v>
      </c>
      <c r="D160" s="28" t="s">
        <v>1981</v>
      </c>
      <c r="E160" s="3" t="s">
        <v>2902</v>
      </c>
      <c r="F160" s="27">
        <v>1</v>
      </c>
      <c r="G160" s="28" t="s">
        <v>371</v>
      </c>
      <c r="H160" s="29"/>
    </row>
    <row r="161" spans="1:8" s="22" customFormat="1" ht="15.9" customHeight="1">
      <c r="A161" s="27">
        <v>157</v>
      </c>
      <c r="B161" s="3" t="s">
        <v>1071</v>
      </c>
      <c r="C161" s="28" t="s">
        <v>371</v>
      </c>
      <c r="D161" s="28" t="s">
        <v>1982</v>
      </c>
      <c r="E161" s="3" t="s">
        <v>2903</v>
      </c>
      <c r="F161" s="27">
        <v>1</v>
      </c>
      <c r="G161" s="28" t="s">
        <v>371</v>
      </c>
      <c r="H161" s="29"/>
    </row>
    <row r="162" spans="1:8" s="22" customFormat="1" ht="15.9" customHeight="1">
      <c r="A162" s="27">
        <v>158</v>
      </c>
      <c r="B162" s="3" t="s">
        <v>1072</v>
      </c>
      <c r="C162" s="28" t="s">
        <v>371</v>
      </c>
      <c r="D162" s="28" t="s">
        <v>1983</v>
      </c>
      <c r="E162" s="3" t="s">
        <v>2904</v>
      </c>
      <c r="F162" s="27">
        <v>1</v>
      </c>
      <c r="G162" s="28" t="s">
        <v>371</v>
      </c>
      <c r="H162" s="29"/>
    </row>
    <row r="163" spans="1:8" s="22" customFormat="1" ht="15.9" customHeight="1">
      <c r="A163" s="27">
        <v>159</v>
      </c>
      <c r="B163" s="3" t="s">
        <v>1073</v>
      </c>
      <c r="C163" s="28" t="s">
        <v>4509</v>
      </c>
      <c r="D163" s="28" t="s">
        <v>1984</v>
      </c>
      <c r="E163" s="3" t="s">
        <v>2905</v>
      </c>
      <c r="F163" s="27">
        <v>1</v>
      </c>
      <c r="G163" s="28" t="s">
        <v>371</v>
      </c>
      <c r="H163" s="29"/>
    </row>
    <row r="164" spans="1:8" s="22" customFormat="1" ht="15.9" customHeight="1">
      <c r="A164" s="27">
        <v>160</v>
      </c>
      <c r="B164" s="3" t="s">
        <v>3793</v>
      </c>
      <c r="C164" s="28" t="s">
        <v>371</v>
      </c>
      <c r="D164" s="28" t="s">
        <v>1985</v>
      </c>
      <c r="E164" s="3" t="s">
        <v>2906</v>
      </c>
      <c r="F164" s="27">
        <v>1</v>
      </c>
      <c r="G164" s="28" t="s">
        <v>371</v>
      </c>
      <c r="H164" s="29"/>
    </row>
    <row r="165" spans="1:8" s="22" customFormat="1" ht="15.9" customHeight="1">
      <c r="A165" s="27">
        <v>161</v>
      </c>
      <c r="B165" s="3" t="s">
        <v>1074</v>
      </c>
      <c r="C165" s="28" t="s">
        <v>4510</v>
      </c>
      <c r="D165" s="28" t="s">
        <v>1986</v>
      </c>
      <c r="E165" s="3" t="s">
        <v>2907</v>
      </c>
      <c r="F165" s="27">
        <v>1</v>
      </c>
      <c r="G165" s="28" t="s">
        <v>371</v>
      </c>
      <c r="H165" s="29"/>
    </row>
    <row r="166" spans="1:8" s="22" customFormat="1" ht="15.9" customHeight="1">
      <c r="A166" s="27">
        <v>162</v>
      </c>
      <c r="B166" s="3" t="s">
        <v>1075</v>
      </c>
      <c r="C166" s="28" t="s">
        <v>4506</v>
      </c>
      <c r="D166" s="28" t="s">
        <v>1987</v>
      </c>
      <c r="E166" s="3" t="s">
        <v>2908</v>
      </c>
      <c r="F166" s="27">
        <v>1</v>
      </c>
      <c r="G166" s="28" t="s">
        <v>371</v>
      </c>
      <c r="H166" s="29"/>
    </row>
    <row r="167" spans="1:8" s="22" customFormat="1" ht="15.9" customHeight="1">
      <c r="A167" s="27">
        <v>163</v>
      </c>
      <c r="B167" s="3" t="s">
        <v>1076</v>
      </c>
      <c r="C167" s="28" t="s">
        <v>4511</v>
      </c>
      <c r="D167" s="28" t="s">
        <v>1988</v>
      </c>
      <c r="E167" s="3" t="s">
        <v>2909</v>
      </c>
      <c r="F167" s="27">
        <v>1</v>
      </c>
      <c r="G167" s="28" t="s">
        <v>371</v>
      </c>
      <c r="H167" s="29"/>
    </row>
    <row r="168" spans="1:8" s="22" customFormat="1" ht="15.9" customHeight="1">
      <c r="A168" s="27">
        <v>164</v>
      </c>
      <c r="B168" s="3" t="s">
        <v>1077</v>
      </c>
      <c r="C168" s="28" t="s">
        <v>1989</v>
      </c>
      <c r="D168" s="28" t="s">
        <v>1990</v>
      </c>
      <c r="E168" s="3" t="s">
        <v>2910</v>
      </c>
      <c r="F168" s="27">
        <v>1</v>
      </c>
      <c r="G168" s="28" t="s">
        <v>371</v>
      </c>
      <c r="H168" s="29"/>
    </row>
    <row r="169" spans="1:8" s="22" customFormat="1" ht="15.9" customHeight="1">
      <c r="A169" s="27">
        <v>165</v>
      </c>
      <c r="B169" s="3" t="s">
        <v>1078</v>
      </c>
      <c r="C169" s="28" t="s">
        <v>371</v>
      </c>
      <c r="D169" s="28" t="s">
        <v>1991</v>
      </c>
      <c r="E169" s="3" t="s">
        <v>2911</v>
      </c>
      <c r="F169" s="27">
        <v>1</v>
      </c>
      <c r="G169" s="28" t="s">
        <v>371</v>
      </c>
      <c r="H169" s="29"/>
    </row>
    <row r="170" spans="1:8" s="22" customFormat="1" ht="15.9" customHeight="1">
      <c r="A170" s="27">
        <v>166</v>
      </c>
      <c r="B170" s="3" t="s">
        <v>4512</v>
      </c>
      <c r="C170" s="28" t="s">
        <v>371</v>
      </c>
      <c r="D170" s="28" t="s">
        <v>4513</v>
      </c>
      <c r="E170" s="3" t="s">
        <v>4514</v>
      </c>
      <c r="F170" s="27">
        <v>1</v>
      </c>
      <c r="G170" s="28" t="s">
        <v>371</v>
      </c>
      <c r="H170" s="29"/>
    </row>
    <row r="171" spans="1:8" s="22" customFormat="1" ht="15.9" customHeight="1">
      <c r="A171" s="27">
        <v>167</v>
      </c>
      <c r="B171" s="3" t="s">
        <v>1079</v>
      </c>
      <c r="C171" s="28" t="s">
        <v>3706</v>
      </c>
      <c r="D171" s="28" t="s">
        <v>1992</v>
      </c>
      <c r="E171" s="3" t="s">
        <v>2912</v>
      </c>
      <c r="F171" s="27">
        <v>1</v>
      </c>
      <c r="G171" s="28" t="s">
        <v>371</v>
      </c>
      <c r="H171" s="29"/>
    </row>
    <row r="172" spans="1:8" s="22" customFormat="1" ht="15.9" customHeight="1">
      <c r="A172" s="27">
        <v>168</v>
      </c>
      <c r="B172" s="3" t="s">
        <v>1080</v>
      </c>
      <c r="C172" s="28" t="s">
        <v>4515</v>
      </c>
      <c r="D172" s="28" t="s">
        <v>1993</v>
      </c>
      <c r="E172" s="3" t="s">
        <v>2913</v>
      </c>
      <c r="F172" s="27">
        <v>1</v>
      </c>
      <c r="G172" s="28" t="s">
        <v>371</v>
      </c>
      <c r="H172" s="29"/>
    </row>
    <row r="173" spans="1:8" s="22" customFormat="1" ht="15.9" customHeight="1">
      <c r="A173" s="27">
        <v>169</v>
      </c>
      <c r="B173" s="3" t="s">
        <v>1081</v>
      </c>
      <c r="C173" s="28" t="s">
        <v>4516</v>
      </c>
      <c r="D173" s="28" t="s">
        <v>1994</v>
      </c>
      <c r="E173" s="3" t="s">
        <v>2914</v>
      </c>
      <c r="F173" s="27">
        <v>1</v>
      </c>
      <c r="G173" s="28" t="s">
        <v>371</v>
      </c>
      <c r="H173" s="29"/>
    </row>
    <row r="174" spans="1:8" s="22" customFormat="1" ht="15.9" customHeight="1">
      <c r="A174" s="27">
        <v>170</v>
      </c>
      <c r="B174" s="3" t="s">
        <v>1082</v>
      </c>
      <c r="C174" s="28" t="s">
        <v>3707</v>
      </c>
      <c r="D174" s="28" t="s">
        <v>1995</v>
      </c>
      <c r="E174" s="3" t="s">
        <v>2915</v>
      </c>
      <c r="F174" s="27">
        <v>1</v>
      </c>
      <c r="G174" s="28" t="s">
        <v>371</v>
      </c>
      <c r="H174" s="29"/>
    </row>
    <row r="175" spans="1:8" s="22" customFormat="1" ht="15.9" customHeight="1">
      <c r="A175" s="27">
        <v>171</v>
      </c>
      <c r="B175" s="3" t="s">
        <v>1083</v>
      </c>
      <c r="C175" s="28" t="s">
        <v>4517</v>
      </c>
      <c r="D175" s="28" t="s">
        <v>1996</v>
      </c>
      <c r="E175" s="3" t="s">
        <v>2916</v>
      </c>
      <c r="F175" s="27">
        <v>1</v>
      </c>
      <c r="G175" s="28" t="s">
        <v>371</v>
      </c>
      <c r="H175" s="29"/>
    </row>
    <row r="176" spans="1:8" s="22" customFormat="1" ht="15.9" customHeight="1">
      <c r="A176" s="27">
        <v>172</v>
      </c>
      <c r="B176" s="3" t="s">
        <v>1084</v>
      </c>
      <c r="C176" s="28" t="s">
        <v>3708</v>
      </c>
      <c r="D176" s="28" t="s">
        <v>1997</v>
      </c>
      <c r="E176" s="3" t="s">
        <v>2917</v>
      </c>
      <c r="F176" s="27">
        <v>1</v>
      </c>
      <c r="G176" s="28" t="s">
        <v>371</v>
      </c>
      <c r="H176" s="29"/>
    </row>
    <row r="177" spans="1:8" s="22" customFormat="1" ht="15.9" customHeight="1">
      <c r="A177" s="27">
        <v>173</v>
      </c>
      <c r="B177" s="3" t="s">
        <v>1085</v>
      </c>
      <c r="C177" s="28" t="s">
        <v>3695</v>
      </c>
      <c r="D177" s="28" t="s">
        <v>1998</v>
      </c>
      <c r="E177" s="3" t="s">
        <v>2918</v>
      </c>
      <c r="F177" s="27">
        <v>1</v>
      </c>
      <c r="G177" s="28" t="s">
        <v>371</v>
      </c>
      <c r="H177" s="29"/>
    </row>
    <row r="178" spans="1:8" s="22" customFormat="1" ht="15.9" customHeight="1">
      <c r="A178" s="27">
        <v>174</v>
      </c>
      <c r="B178" s="3" t="s">
        <v>1086</v>
      </c>
      <c r="C178" s="28" t="s">
        <v>3677</v>
      </c>
      <c r="D178" s="28" t="s">
        <v>1999</v>
      </c>
      <c r="E178" s="3" t="s">
        <v>2919</v>
      </c>
      <c r="F178" s="27">
        <v>1</v>
      </c>
      <c r="G178" s="28" t="s">
        <v>371</v>
      </c>
      <c r="H178" s="29"/>
    </row>
    <row r="179" spans="1:8" s="22" customFormat="1" ht="15.9" customHeight="1">
      <c r="A179" s="27">
        <v>175</v>
      </c>
      <c r="B179" s="3" t="s">
        <v>1087</v>
      </c>
      <c r="C179" s="28" t="s">
        <v>3709</v>
      </c>
      <c r="D179" s="28" t="s">
        <v>2000</v>
      </c>
      <c r="E179" s="3" t="s">
        <v>2920</v>
      </c>
      <c r="F179" s="27">
        <v>1</v>
      </c>
      <c r="G179" s="28" t="s">
        <v>371</v>
      </c>
      <c r="H179" s="29"/>
    </row>
    <row r="180" spans="1:8" s="22" customFormat="1" ht="15.9" customHeight="1">
      <c r="A180" s="27">
        <v>176</v>
      </c>
      <c r="B180" s="3" t="s">
        <v>1088</v>
      </c>
      <c r="C180" s="28" t="s">
        <v>371</v>
      </c>
      <c r="D180" s="28" t="s">
        <v>2001</v>
      </c>
      <c r="E180" s="3" t="s">
        <v>2921</v>
      </c>
      <c r="F180" s="27">
        <v>1</v>
      </c>
      <c r="G180" s="28" t="s">
        <v>371</v>
      </c>
      <c r="H180" s="29"/>
    </row>
    <row r="181" spans="1:8" s="22" customFormat="1" ht="15.9" customHeight="1">
      <c r="A181" s="27">
        <v>177</v>
      </c>
      <c r="B181" s="3" t="s">
        <v>1089</v>
      </c>
      <c r="C181" s="28" t="s">
        <v>371</v>
      </c>
      <c r="D181" s="28" t="s">
        <v>2002</v>
      </c>
      <c r="E181" s="3" t="s">
        <v>2922</v>
      </c>
      <c r="F181" s="27">
        <v>1</v>
      </c>
      <c r="G181" s="28" t="s">
        <v>371</v>
      </c>
      <c r="H181" s="29"/>
    </row>
    <row r="182" spans="1:8" s="22" customFormat="1" ht="15.9" customHeight="1">
      <c r="A182" s="27">
        <v>178</v>
      </c>
      <c r="B182" s="3" t="s">
        <v>4518</v>
      </c>
      <c r="C182" s="28" t="s">
        <v>3715</v>
      </c>
      <c r="D182" s="28" t="s">
        <v>4519</v>
      </c>
      <c r="E182" s="3" t="s">
        <v>4520</v>
      </c>
      <c r="F182" s="27">
        <v>1</v>
      </c>
      <c r="G182" s="28" t="s">
        <v>371</v>
      </c>
      <c r="H182" s="29"/>
    </row>
    <row r="183" spans="1:8" s="22" customFormat="1" ht="15.9" customHeight="1">
      <c r="A183" s="27">
        <v>179</v>
      </c>
      <c r="B183" s="3" t="s">
        <v>1090</v>
      </c>
      <c r="C183" s="28" t="s">
        <v>3710</v>
      </c>
      <c r="D183" s="28" t="s">
        <v>2003</v>
      </c>
      <c r="E183" s="3" t="s">
        <v>2923</v>
      </c>
      <c r="F183" s="27">
        <v>1</v>
      </c>
      <c r="G183" s="28" t="s">
        <v>371</v>
      </c>
      <c r="H183" s="29"/>
    </row>
    <row r="184" spans="1:8" s="22" customFormat="1" ht="15.9" customHeight="1">
      <c r="A184" s="27">
        <v>180</v>
      </c>
      <c r="B184" s="3" t="s">
        <v>1091</v>
      </c>
      <c r="C184" s="28" t="s">
        <v>4521</v>
      </c>
      <c r="D184" s="28" t="s">
        <v>2004</v>
      </c>
      <c r="E184" s="3" t="s">
        <v>2924</v>
      </c>
      <c r="F184" s="27">
        <v>1</v>
      </c>
      <c r="G184" s="28" t="s">
        <v>371</v>
      </c>
      <c r="H184" s="29"/>
    </row>
    <row r="185" spans="1:8" s="22" customFormat="1" ht="15.9" customHeight="1">
      <c r="A185" s="27">
        <v>181</v>
      </c>
      <c r="B185" s="3" t="s">
        <v>1092</v>
      </c>
      <c r="C185" s="28" t="s">
        <v>2005</v>
      </c>
      <c r="D185" s="28" t="s">
        <v>2006</v>
      </c>
      <c r="E185" s="3" t="s">
        <v>2925</v>
      </c>
      <c r="F185" s="27">
        <v>1</v>
      </c>
      <c r="G185" s="28" t="s">
        <v>371</v>
      </c>
      <c r="H185" s="29"/>
    </row>
    <row r="186" spans="1:8" s="22" customFormat="1" ht="15.9" customHeight="1">
      <c r="A186" s="27">
        <v>182</v>
      </c>
      <c r="B186" s="3" t="s">
        <v>1093</v>
      </c>
      <c r="C186" s="28" t="s">
        <v>371</v>
      </c>
      <c r="D186" s="28" t="s">
        <v>2007</v>
      </c>
      <c r="E186" s="3" t="s">
        <v>2926</v>
      </c>
      <c r="F186" s="27">
        <v>1</v>
      </c>
      <c r="G186" s="28" t="s">
        <v>371</v>
      </c>
      <c r="H186" s="29"/>
    </row>
    <row r="187" spans="1:8" s="22" customFormat="1" ht="15.9" customHeight="1">
      <c r="A187" s="27">
        <v>183</v>
      </c>
      <c r="B187" s="3" t="s">
        <v>3794</v>
      </c>
      <c r="C187" s="28" t="s">
        <v>4522</v>
      </c>
      <c r="D187" s="28" t="s">
        <v>2008</v>
      </c>
      <c r="E187" s="3" t="s">
        <v>2927</v>
      </c>
      <c r="F187" s="27">
        <v>1</v>
      </c>
      <c r="G187" s="28" t="s">
        <v>371</v>
      </c>
      <c r="H187" s="29"/>
    </row>
    <row r="188" spans="1:8" s="22" customFormat="1" ht="15.9" customHeight="1">
      <c r="A188" s="27">
        <v>184</v>
      </c>
      <c r="B188" s="3" t="s">
        <v>1094</v>
      </c>
      <c r="C188" s="28" t="s">
        <v>371</v>
      </c>
      <c r="D188" s="28" t="s">
        <v>2009</v>
      </c>
      <c r="E188" s="3" t="s">
        <v>2928</v>
      </c>
      <c r="F188" s="27">
        <v>1</v>
      </c>
      <c r="G188" s="28" t="s">
        <v>371</v>
      </c>
      <c r="H188" s="29"/>
    </row>
    <row r="189" spans="1:8" s="22" customFormat="1" ht="15.9" customHeight="1">
      <c r="A189" s="27">
        <v>185</v>
      </c>
      <c r="B189" s="3" t="s">
        <v>1095</v>
      </c>
      <c r="C189" s="28" t="s">
        <v>4523</v>
      </c>
      <c r="D189" s="28" t="s">
        <v>2010</v>
      </c>
      <c r="E189" s="3" t="s">
        <v>2929</v>
      </c>
      <c r="F189" s="27">
        <v>1</v>
      </c>
      <c r="G189" s="28" t="s">
        <v>371</v>
      </c>
      <c r="H189" s="29"/>
    </row>
    <row r="190" spans="1:8" s="22" customFormat="1" ht="15.9" customHeight="1">
      <c r="A190" s="27">
        <v>186</v>
      </c>
      <c r="B190" s="3" t="s">
        <v>1096</v>
      </c>
      <c r="C190" s="28" t="s">
        <v>371</v>
      </c>
      <c r="D190" s="28" t="s">
        <v>2011</v>
      </c>
      <c r="E190" s="3" t="s">
        <v>2930</v>
      </c>
      <c r="F190" s="27">
        <v>1</v>
      </c>
      <c r="G190" s="28" t="s">
        <v>371</v>
      </c>
      <c r="H190" s="29"/>
    </row>
    <row r="191" spans="1:8" s="22" customFormat="1" ht="15.9" customHeight="1">
      <c r="A191" s="27">
        <v>187</v>
      </c>
      <c r="B191" s="3" t="s">
        <v>1097</v>
      </c>
      <c r="C191" s="28" t="s">
        <v>371</v>
      </c>
      <c r="D191" s="28" t="s">
        <v>2012</v>
      </c>
      <c r="E191" s="3" t="s">
        <v>2931</v>
      </c>
      <c r="F191" s="27">
        <v>1</v>
      </c>
      <c r="G191" s="28" t="s">
        <v>371</v>
      </c>
      <c r="H191" s="29"/>
    </row>
    <row r="192" spans="1:8" s="22" customFormat="1" ht="15.9" customHeight="1">
      <c r="A192" s="27">
        <v>188</v>
      </c>
      <c r="B192" s="3" t="s">
        <v>1098</v>
      </c>
      <c r="C192" s="28" t="s">
        <v>3677</v>
      </c>
      <c r="D192" s="28" t="s">
        <v>2013</v>
      </c>
      <c r="E192" s="3" t="s">
        <v>2932</v>
      </c>
      <c r="F192" s="27">
        <v>1</v>
      </c>
      <c r="G192" s="28" t="s">
        <v>371</v>
      </c>
      <c r="H192" s="29"/>
    </row>
    <row r="193" spans="1:8" s="22" customFormat="1" ht="15.9" customHeight="1">
      <c r="A193" s="27">
        <v>189</v>
      </c>
      <c r="B193" s="3" t="s">
        <v>1099</v>
      </c>
      <c r="C193" s="28" t="s">
        <v>4927</v>
      </c>
      <c r="D193" s="28" t="s">
        <v>2014</v>
      </c>
      <c r="E193" s="3" t="s">
        <v>2933</v>
      </c>
      <c r="F193" s="27">
        <v>1</v>
      </c>
      <c r="G193" s="28" t="s">
        <v>371</v>
      </c>
      <c r="H193" s="29"/>
    </row>
    <row r="194" spans="1:8" s="22" customFormat="1" ht="15.9" customHeight="1">
      <c r="A194" s="27">
        <v>190</v>
      </c>
      <c r="B194" s="3" t="s">
        <v>1100</v>
      </c>
      <c r="C194" s="28" t="s">
        <v>3711</v>
      </c>
      <c r="D194" s="28" t="s">
        <v>2015</v>
      </c>
      <c r="E194" s="3" t="s">
        <v>2934</v>
      </c>
      <c r="F194" s="27">
        <v>1</v>
      </c>
      <c r="G194" s="28" t="s">
        <v>371</v>
      </c>
      <c r="H194" s="29"/>
    </row>
    <row r="195" spans="1:8" s="22" customFormat="1" ht="15.9" customHeight="1">
      <c r="A195" s="27">
        <v>191</v>
      </c>
      <c r="B195" s="3" t="s">
        <v>1101</v>
      </c>
      <c r="C195" s="28" t="s">
        <v>371</v>
      </c>
      <c r="D195" s="28" t="s">
        <v>2016</v>
      </c>
      <c r="E195" s="3" t="s">
        <v>2935</v>
      </c>
      <c r="F195" s="27">
        <v>1</v>
      </c>
      <c r="G195" s="28" t="s">
        <v>371</v>
      </c>
      <c r="H195" s="29"/>
    </row>
    <row r="196" spans="1:8" s="22" customFormat="1" ht="15.9" customHeight="1">
      <c r="A196" s="27">
        <v>192</v>
      </c>
      <c r="B196" s="3" t="s">
        <v>1102</v>
      </c>
      <c r="C196" s="28" t="s">
        <v>3677</v>
      </c>
      <c r="D196" s="28" t="s">
        <v>2017</v>
      </c>
      <c r="E196" s="3" t="s">
        <v>2936</v>
      </c>
      <c r="F196" s="27">
        <v>1</v>
      </c>
      <c r="G196" s="28" t="s">
        <v>371</v>
      </c>
      <c r="H196" s="29"/>
    </row>
    <row r="197" spans="1:8" s="22" customFormat="1" ht="15.9" customHeight="1">
      <c r="A197" s="27">
        <v>193</v>
      </c>
      <c r="B197" s="3" t="s">
        <v>1103</v>
      </c>
      <c r="C197" s="28" t="s">
        <v>1976</v>
      </c>
      <c r="D197" s="28" t="s">
        <v>2018</v>
      </c>
      <c r="E197" s="3" t="s">
        <v>2937</v>
      </c>
      <c r="F197" s="27">
        <v>1</v>
      </c>
      <c r="G197" s="28" t="s">
        <v>371</v>
      </c>
      <c r="H197" s="29"/>
    </row>
    <row r="198" spans="1:8" s="22" customFormat="1" ht="15.9" customHeight="1">
      <c r="A198" s="27">
        <v>194</v>
      </c>
      <c r="B198" s="3" t="s">
        <v>4524</v>
      </c>
      <c r="C198" s="28" t="s">
        <v>371</v>
      </c>
      <c r="D198" s="28" t="s">
        <v>4525</v>
      </c>
      <c r="E198" s="3" t="s">
        <v>4526</v>
      </c>
      <c r="F198" s="27">
        <v>1</v>
      </c>
      <c r="G198" s="28" t="s">
        <v>371</v>
      </c>
      <c r="H198" s="29"/>
    </row>
    <row r="199" spans="1:8" s="22" customFormat="1" ht="15.9" customHeight="1">
      <c r="A199" s="27">
        <v>195</v>
      </c>
      <c r="B199" s="3" t="s">
        <v>1104</v>
      </c>
      <c r="C199" s="28" t="s">
        <v>1989</v>
      </c>
      <c r="D199" s="28" t="s">
        <v>2019</v>
      </c>
      <c r="E199" s="3" t="s">
        <v>2938</v>
      </c>
      <c r="F199" s="27">
        <v>1</v>
      </c>
      <c r="G199" s="28" t="s">
        <v>371</v>
      </c>
      <c r="H199" s="29"/>
    </row>
    <row r="200" spans="1:8" s="22" customFormat="1" ht="15.9" customHeight="1">
      <c r="A200" s="27">
        <v>196</v>
      </c>
      <c r="B200" s="3" t="s">
        <v>1105</v>
      </c>
      <c r="C200" s="28" t="s">
        <v>2020</v>
      </c>
      <c r="D200" s="28" t="s">
        <v>2021</v>
      </c>
      <c r="E200" s="3" t="s">
        <v>2939</v>
      </c>
      <c r="F200" s="27">
        <v>1</v>
      </c>
      <c r="G200" s="28" t="s">
        <v>371</v>
      </c>
      <c r="H200" s="29"/>
    </row>
    <row r="201" spans="1:8" s="22" customFormat="1" ht="15.9" customHeight="1">
      <c r="A201" s="27">
        <v>197</v>
      </c>
      <c r="B201" s="3" t="s">
        <v>1106</v>
      </c>
      <c r="C201" s="28" t="s">
        <v>3712</v>
      </c>
      <c r="D201" s="28" t="s">
        <v>2022</v>
      </c>
      <c r="E201" s="3" t="s">
        <v>2940</v>
      </c>
      <c r="F201" s="27">
        <v>1</v>
      </c>
      <c r="G201" s="28" t="s">
        <v>371</v>
      </c>
      <c r="H201" s="29"/>
    </row>
    <row r="202" spans="1:8" s="22" customFormat="1" ht="15.9" customHeight="1">
      <c r="A202" s="27">
        <v>198</v>
      </c>
      <c r="B202" s="3" t="s">
        <v>1107</v>
      </c>
      <c r="C202" s="28" t="s">
        <v>3713</v>
      </c>
      <c r="D202" s="28" t="s">
        <v>2023</v>
      </c>
      <c r="E202" s="3" t="s">
        <v>2941</v>
      </c>
      <c r="F202" s="27">
        <v>1</v>
      </c>
      <c r="G202" s="28" t="s">
        <v>371</v>
      </c>
      <c r="H202" s="29"/>
    </row>
    <row r="203" spans="1:8" s="22" customFormat="1" ht="15.9" customHeight="1">
      <c r="A203" s="27">
        <v>199</v>
      </c>
      <c r="B203" s="3" t="s">
        <v>1108</v>
      </c>
      <c r="C203" s="28" t="s">
        <v>3714</v>
      </c>
      <c r="D203" s="28" t="s">
        <v>2024</v>
      </c>
      <c r="E203" s="3" t="s">
        <v>2942</v>
      </c>
      <c r="F203" s="27">
        <v>1</v>
      </c>
      <c r="G203" s="28" t="s">
        <v>371</v>
      </c>
      <c r="H203" s="29"/>
    </row>
    <row r="204" spans="1:8" s="22" customFormat="1" ht="15.9" customHeight="1">
      <c r="A204" s="27">
        <v>200</v>
      </c>
      <c r="B204" s="3" t="s">
        <v>1109</v>
      </c>
      <c r="C204" s="28" t="s">
        <v>371</v>
      </c>
      <c r="D204" s="28" t="s">
        <v>2025</v>
      </c>
      <c r="E204" s="3" t="s">
        <v>2943</v>
      </c>
      <c r="F204" s="27">
        <v>1</v>
      </c>
      <c r="G204" s="28" t="s">
        <v>371</v>
      </c>
      <c r="H204" s="29"/>
    </row>
    <row r="205" spans="1:8" s="22" customFormat="1" ht="15.9" customHeight="1">
      <c r="A205" s="27">
        <v>201</v>
      </c>
      <c r="B205" s="3" t="s">
        <v>1110</v>
      </c>
      <c r="C205" s="28" t="s">
        <v>3715</v>
      </c>
      <c r="D205" s="28" t="s">
        <v>2026</v>
      </c>
      <c r="E205" s="3" t="s">
        <v>2944</v>
      </c>
      <c r="F205" s="27">
        <v>1</v>
      </c>
      <c r="G205" s="28" t="s">
        <v>371</v>
      </c>
      <c r="H205" s="29"/>
    </row>
    <row r="206" spans="1:8" s="22" customFormat="1" ht="15.9" customHeight="1">
      <c r="A206" s="27">
        <v>202</v>
      </c>
      <c r="B206" s="3" t="s">
        <v>1111</v>
      </c>
      <c r="C206" s="28" t="s">
        <v>3716</v>
      </c>
      <c r="D206" s="28" t="s">
        <v>2027</v>
      </c>
      <c r="E206" s="3" t="s">
        <v>2945</v>
      </c>
      <c r="F206" s="27">
        <v>1</v>
      </c>
      <c r="G206" s="28" t="s">
        <v>371</v>
      </c>
      <c r="H206" s="29"/>
    </row>
    <row r="207" spans="1:8" s="22" customFormat="1" ht="15.9" customHeight="1">
      <c r="A207" s="27">
        <v>203</v>
      </c>
      <c r="B207" s="3" t="s">
        <v>1112</v>
      </c>
      <c r="C207" s="28" t="s">
        <v>4928</v>
      </c>
      <c r="D207" s="28" t="s">
        <v>2028</v>
      </c>
      <c r="E207" s="3" t="s">
        <v>2946</v>
      </c>
      <c r="F207" s="27">
        <v>1</v>
      </c>
      <c r="G207" s="28" t="s">
        <v>371</v>
      </c>
      <c r="H207" s="29"/>
    </row>
    <row r="208" spans="1:8" s="22" customFormat="1" ht="15.9" customHeight="1">
      <c r="A208" s="27">
        <v>204</v>
      </c>
      <c r="B208" s="3" t="s">
        <v>1113</v>
      </c>
      <c r="C208" s="28" t="s">
        <v>4527</v>
      </c>
      <c r="D208" s="28" t="s">
        <v>2029</v>
      </c>
      <c r="E208" s="3" t="s">
        <v>2947</v>
      </c>
      <c r="F208" s="27">
        <v>1</v>
      </c>
      <c r="G208" s="28" t="s">
        <v>371</v>
      </c>
      <c r="H208" s="29"/>
    </row>
    <row r="209" spans="1:8" s="22" customFormat="1" ht="15.9" customHeight="1">
      <c r="A209" s="27">
        <v>205</v>
      </c>
      <c r="B209" s="3" t="s">
        <v>1114</v>
      </c>
      <c r="C209" s="28" t="s">
        <v>371</v>
      </c>
      <c r="D209" s="28" t="s">
        <v>2030</v>
      </c>
      <c r="E209" s="3" t="s">
        <v>2948</v>
      </c>
      <c r="F209" s="27">
        <v>1</v>
      </c>
      <c r="G209" s="28" t="s">
        <v>371</v>
      </c>
      <c r="H209" s="29"/>
    </row>
    <row r="210" spans="1:8" s="22" customFormat="1" ht="15.9" customHeight="1">
      <c r="A210" s="27">
        <v>206</v>
      </c>
      <c r="B210" s="3" t="s">
        <v>1115</v>
      </c>
      <c r="C210" s="28" t="s">
        <v>4528</v>
      </c>
      <c r="D210" s="28" t="s">
        <v>2031</v>
      </c>
      <c r="E210" s="3" t="s">
        <v>2949</v>
      </c>
      <c r="F210" s="27">
        <v>1</v>
      </c>
      <c r="G210" s="28" t="s">
        <v>371</v>
      </c>
      <c r="H210" s="29"/>
    </row>
    <row r="211" spans="1:8" s="22" customFormat="1" ht="15.9" customHeight="1">
      <c r="A211" s="27">
        <v>207</v>
      </c>
      <c r="B211" s="3" t="s">
        <v>1116</v>
      </c>
      <c r="C211" s="28" t="s">
        <v>371</v>
      </c>
      <c r="D211" s="28" t="s">
        <v>2032</v>
      </c>
      <c r="E211" s="3" t="s">
        <v>2950</v>
      </c>
      <c r="F211" s="27">
        <v>1</v>
      </c>
      <c r="G211" s="28" t="s">
        <v>371</v>
      </c>
      <c r="H211" s="29"/>
    </row>
    <row r="212" spans="1:8" s="22" customFormat="1" ht="15.9" customHeight="1">
      <c r="A212" s="27">
        <v>208</v>
      </c>
      <c r="B212" s="3" t="s">
        <v>1117</v>
      </c>
      <c r="C212" s="28" t="s">
        <v>3717</v>
      </c>
      <c r="D212" s="28" t="s">
        <v>2033</v>
      </c>
      <c r="E212" s="3" t="s">
        <v>2951</v>
      </c>
      <c r="F212" s="27">
        <v>1</v>
      </c>
      <c r="G212" s="28" t="s">
        <v>371</v>
      </c>
      <c r="H212" s="29"/>
    </row>
    <row r="213" spans="1:8" s="22" customFormat="1" ht="15.9" customHeight="1">
      <c r="A213" s="27">
        <v>209</v>
      </c>
      <c r="B213" s="3" t="s">
        <v>1118</v>
      </c>
      <c r="C213" s="28" t="s">
        <v>371</v>
      </c>
      <c r="D213" s="28" t="s">
        <v>2034</v>
      </c>
      <c r="E213" s="3" t="s">
        <v>2952</v>
      </c>
      <c r="F213" s="27">
        <v>1</v>
      </c>
      <c r="G213" s="28" t="s">
        <v>371</v>
      </c>
      <c r="H213" s="29"/>
    </row>
    <row r="214" spans="1:8" s="22" customFormat="1" ht="15.9" customHeight="1">
      <c r="A214" s="27">
        <v>210</v>
      </c>
      <c r="B214" s="3" t="s">
        <v>1119</v>
      </c>
      <c r="C214" s="28" t="s">
        <v>4529</v>
      </c>
      <c r="D214" s="28" t="s">
        <v>2035</v>
      </c>
      <c r="E214" s="3" t="s">
        <v>2953</v>
      </c>
      <c r="F214" s="27">
        <v>1</v>
      </c>
      <c r="G214" s="28" t="s">
        <v>371</v>
      </c>
      <c r="H214" s="29"/>
    </row>
    <row r="215" spans="1:8" s="22" customFormat="1" ht="15.9" customHeight="1">
      <c r="A215" s="27">
        <v>211</v>
      </c>
      <c r="B215" s="3" t="s">
        <v>1120</v>
      </c>
      <c r="C215" s="28" t="s">
        <v>371</v>
      </c>
      <c r="D215" s="28" t="s">
        <v>2036</v>
      </c>
      <c r="E215" s="3" t="s">
        <v>2954</v>
      </c>
      <c r="F215" s="27">
        <v>1</v>
      </c>
      <c r="G215" s="28" t="s">
        <v>371</v>
      </c>
      <c r="H215" s="29"/>
    </row>
    <row r="216" spans="1:8" s="22" customFormat="1" ht="15.9" customHeight="1">
      <c r="A216" s="27">
        <v>212</v>
      </c>
      <c r="B216" s="3" t="s">
        <v>1121</v>
      </c>
      <c r="C216" s="28" t="s">
        <v>4929</v>
      </c>
      <c r="D216" s="28" t="s">
        <v>2037</v>
      </c>
      <c r="E216" s="3" t="s">
        <v>2955</v>
      </c>
      <c r="F216" s="27">
        <v>1</v>
      </c>
      <c r="G216" s="28" t="s">
        <v>371</v>
      </c>
      <c r="H216" s="29"/>
    </row>
    <row r="217" spans="1:8" s="22" customFormat="1" ht="15.9" customHeight="1">
      <c r="A217" s="27">
        <v>213</v>
      </c>
      <c r="B217" s="3" t="s">
        <v>1122</v>
      </c>
      <c r="C217" s="28" t="s">
        <v>371</v>
      </c>
      <c r="D217" s="28" t="s">
        <v>2038</v>
      </c>
      <c r="E217" s="3" t="s">
        <v>2956</v>
      </c>
      <c r="F217" s="27">
        <v>1</v>
      </c>
      <c r="G217" s="28" t="s">
        <v>371</v>
      </c>
      <c r="H217" s="29"/>
    </row>
    <row r="218" spans="1:8" s="22" customFormat="1" ht="15.9" customHeight="1">
      <c r="A218" s="27">
        <v>214</v>
      </c>
      <c r="B218" s="3" t="s">
        <v>1123</v>
      </c>
      <c r="C218" s="28" t="s">
        <v>371</v>
      </c>
      <c r="D218" s="28" t="s">
        <v>2039</v>
      </c>
      <c r="E218" s="3" t="s">
        <v>2957</v>
      </c>
      <c r="F218" s="27">
        <v>1</v>
      </c>
      <c r="G218" s="28" t="s">
        <v>371</v>
      </c>
      <c r="H218" s="29"/>
    </row>
    <row r="219" spans="1:8" s="22" customFormat="1" ht="15.9" customHeight="1">
      <c r="A219" s="27">
        <v>215</v>
      </c>
      <c r="B219" s="3" t="s">
        <v>1124</v>
      </c>
      <c r="C219" s="28" t="s">
        <v>3707</v>
      </c>
      <c r="D219" s="28" t="s">
        <v>2040</v>
      </c>
      <c r="E219" s="3" t="s">
        <v>2958</v>
      </c>
      <c r="F219" s="27">
        <v>1</v>
      </c>
      <c r="G219" s="28" t="s">
        <v>371</v>
      </c>
      <c r="H219" s="29"/>
    </row>
    <row r="220" spans="1:8" s="22" customFormat="1" ht="15.9" customHeight="1">
      <c r="A220" s="27">
        <v>216</v>
      </c>
      <c r="B220" s="3" t="s">
        <v>1125</v>
      </c>
      <c r="C220" s="28" t="s">
        <v>3718</v>
      </c>
      <c r="D220" s="28" t="s">
        <v>2041</v>
      </c>
      <c r="E220" s="3" t="s">
        <v>2959</v>
      </c>
      <c r="F220" s="27">
        <v>1</v>
      </c>
      <c r="G220" s="28" t="s">
        <v>371</v>
      </c>
      <c r="H220" s="29"/>
    </row>
    <row r="221" spans="1:8" s="22" customFormat="1" ht="15.9" customHeight="1">
      <c r="A221" s="27">
        <v>217</v>
      </c>
      <c r="B221" s="3" t="s">
        <v>1126</v>
      </c>
      <c r="C221" s="28" t="s">
        <v>3719</v>
      </c>
      <c r="D221" s="28" t="s">
        <v>2042</v>
      </c>
      <c r="E221" s="3" t="s">
        <v>2960</v>
      </c>
      <c r="F221" s="27">
        <v>1</v>
      </c>
      <c r="G221" s="28" t="s">
        <v>371</v>
      </c>
      <c r="H221" s="29"/>
    </row>
    <row r="222" spans="1:8" s="22" customFormat="1" ht="15.9" customHeight="1">
      <c r="A222" s="27">
        <v>218</v>
      </c>
      <c r="B222" s="3" t="s">
        <v>1127</v>
      </c>
      <c r="C222" s="28" t="s">
        <v>4930</v>
      </c>
      <c r="D222" s="28" t="s">
        <v>2043</v>
      </c>
      <c r="E222" s="3" t="s">
        <v>2961</v>
      </c>
      <c r="F222" s="27">
        <v>1</v>
      </c>
      <c r="G222" s="28" t="s">
        <v>371</v>
      </c>
      <c r="H222" s="29"/>
    </row>
    <row r="223" spans="1:8" s="22" customFormat="1" ht="15.9" customHeight="1">
      <c r="A223" s="27">
        <v>219</v>
      </c>
      <c r="B223" s="3" t="s">
        <v>1128</v>
      </c>
      <c r="C223" s="28" t="s">
        <v>4931</v>
      </c>
      <c r="D223" s="28" t="s">
        <v>2044</v>
      </c>
      <c r="E223" s="3" t="s">
        <v>2962</v>
      </c>
      <c r="F223" s="27">
        <v>1</v>
      </c>
      <c r="G223" s="28" t="s">
        <v>371</v>
      </c>
      <c r="H223" s="29"/>
    </row>
    <row r="224" spans="1:8" s="22" customFormat="1" ht="15.9" customHeight="1">
      <c r="A224" s="27">
        <v>220</v>
      </c>
      <c r="B224" s="3" t="s">
        <v>1129</v>
      </c>
      <c r="C224" s="28" t="s">
        <v>4932</v>
      </c>
      <c r="D224" s="28" t="s">
        <v>2045</v>
      </c>
      <c r="E224" s="3" t="s">
        <v>2963</v>
      </c>
      <c r="F224" s="27">
        <v>1</v>
      </c>
      <c r="G224" s="28" t="s">
        <v>371</v>
      </c>
      <c r="H224" s="29"/>
    </row>
    <row r="225" spans="1:8" s="22" customFormat="1" ht="15.9" customHeight="1">
      <c r="A225" s="27">
        <v>221</v>
      </c>
      <c r="B225" s="3" t="s">
        <v>1130</v>
      </c>
      <c r="C225" s="28" t="s">
        <v>3720</v>
      </c>
      <c r="D225" s="28" t="s">
        <v>2046</v>
      </c>
      <c r="E225" s="3" t="s">
        <v>2964</v>
      </c>
      <c r="F225" s="27">
        <v>1</v>
      </c>
      <c r="G225" s="28" t="s">
        <v>371</v>
      </c>
      <c r="H225" s="29"/>
    </row>
    <row r="226" spans="1:8" s="22" customFormat="1" ht="15.9" customHeight="1">
      <c r="A226" s="27">
        <v>222</v>
      </c>
      <c r="B226" s="3" t="s">
        <v>1131</v>
      </c>
      <c r="C226" s="28" t="s">
        <v>3721</v>
      </c>
      <c r="D226" s="28" t="s">
        <v>2047</v>
      </c>
      <c r="E226" s="3" t="s">
        <v>2965</v>
      </c>
      <c r="F226" s="27">
        <v>1</v>
      </c>
      <c r="G226" s="28" t="s">
        <v>371</v>
      </c>
      <c r="H226" s="29"/>
    </row>
    <row r="227" spans="1:8" s="22" customFormat="1" ht="15.9" customHeight="1">
      <c r="A227" s="27">
        <v>223</v>
      </c>
      <c r="B227" s="3" t="s">
        <v>1132</v>
      </c>
      <c r="C227" s="28" t="s">
        <v>102</v>
      </c>
      <c r="D227" s="28" t="s">
        <v>2048</v>
      </c>
      <c r="E227" s="3" t="s">
        <v>2966</v>
      </c>
      <c r="F227" s="27">
        <v>1</v>
      </c>
      <c r="G227" s="28" t="s">
        <v>371</v>
      </c>
      <c r="H227" s="29"/>
    </row>
    <row r="228" spans="1:8" s="22" customFormat="1" ht="15.9" customHeight="1">
      <c r="A228" s="27">
        <v>224</v>
      </c>
      <c r="B228" s="3" t="s">
        <v>1133</v>
      </c>
      <c r="C228" s="28" t="s">
        <v>371</v>
      </c>
      <c r="D228" s="28" t="s">
        <v>2049</v>
      </c>
      <c r="E228" s="3" t="s">
        <v>2967</v>
      </c>
      <c r="F228" s="27">
        <v>1</v>
      </c>
      <c r="G228" s="28" t="s">
        <v>371</v>
      </c>
      <c r="H228" s="29"/>
    </row>
    <row r="229" spans="1:8" s="22" customFormat="1" ht="15.9" customHeight="1">
      <c r="A229" s="27">
        <v>225</v>
      </c>
      <c r="B229" s="3" t="s">
        <v>1134</v>
      </c>
      <c r="C229" s="28" t="s">
        <v>371</v>
      </c>
      <c r="D229" s="28" t="s">
        <v>2050</v>
      </c>
      <c r="E229" s="3" t="s">
        <v>2968</v>
      </c>
      <c r="F229" s="27">
        <v>1</v>
      </c>
      <c r="G229" s="28" t="s">
        <v>371</v>
      </c>
      <c r="H229" s="29"/>
    </row>
    <row r="230" spans="1:8" s="22" customFormat="1" ht="15.9" customHeight="1">
      <c r="A230" s="27">
        <v>226</v>
      </c>
      <c r="B230" s="3" t="s">
        <v>4530</v>
      </c>
      <c r="C230" s="28" t="s">
        <v>4531</v>
      </c>
      <c r="D230" s="28" t="s">
        <v>4532</v>
      </c>
      <c r="E230" s="3" t="s">
        <v>4533</v>
      </c>
      <c r="F230" s="27">
        <v>1</v>
      </c>
      <c r="G230" s="28" t="s">
        <v>371</v>
      </c>
      <c r="H230" s="29"/>
    </row>
    <row r="231" spans="1:8" s="22" customFormat="1" ht="15.9" customHeight="1">
      <c r="A231" s="27">
        <v>227</v>
      </c>
      <c r="B231" s="3" t="s">
        <v>1135</v>
      </c>
      <c r="C231" s="28" t="s">
        <v>3722</v>
      </c>
      <c r="D231" s="28" t="s">
        <v>2051</v>
      </c>
      <c r="E231" s="3" t="s">
        <v>2969</v>
      </c>
      <c r="F231" s="27">
        <v>1</v>
      </c>
      <c r="G231" s="28" t="s">
        <v>371</v>
      </c>
      <c r="H231" s="29"/>
    </row>
    <row r="232" spans="1:8" s="22" customFormat="1" ht="15.9" customHeight="1">
      <c r="A232" s="27">
        <v>228</v>
      </c>
      <c r="B232" s="3" t="s">
        <v>1136</v>
      </c>
      <c r="C232" s="28" t="s">
        <v>371</v>
      </c>
      <c r="D232" s="28" t="s">
        <v>2052</v>
      </c>
      <c r="E232" s="3" t="s">
        <v>2970</v>
      </c>
      <c r="F232" s="27">
        <v>1</v>
      </c>
      <c r="G232" s="28" t="s">
        <v>371</v>
      </c>
      <c r="H232" s="29"/>
    </row>
    <row r="233" spans="1:8" s="22" customFormat="1" ht="15.9" customHeight="1">
      <c r="A233" s="27">
        <v>229</v>
      </c>
      <c r="B233" s="3" t="s">
        <v>1137</v>
      </c>
      <c r="C233" s="28" t="s">
        <v>371</v>
      </c>
      <c r="D233" s="28" t="s">
        <v>2053</v>
      </c>
      <c r="E233" s="3" t="s">
        <v>2971</v>
      </c>
      <c r="F233" s="27">
        <v>1</v>
      </c>
      <c r="G233" s="28" t="s">
        <v>371</v>
      </c>
      <c r="H233" s="29"/>
    </row>
    <row r="234" spans="1:8" s="22" customFormat="1" ht="15.9" customHeight="1">
      <c r="A234" s="27">
        <v>230</v>
      </c>
      <c r="B234" s="3" t="s">
        <v>1138</v>
      </c>
      <c r="C234" s="28" t="s">
        <v>3723</v>
      </c>
      <c r="D234" s="28" t="s">
        <v>2054</v>
      </c>
      <c r="E234" s="3" t="s">
        <v>2972</v>
      </c>
      <c r="F234" s="27">
        <v>1</v>
      </c>
      <c r="G234" s="28" t="s">
        <v>371</v>
      </c>
      <c r="H234" s="29"/>
    </row>
    <row r="235" spans="1:8" s="22" customFormat="1" ht="15.9" customHeight="1">
      <c r="A235" s="27">
        <v>231</v>
      </c>
      <c r="B235" s="3" t="s">
        <v>1139</v>
      </c>
      <c r="C235" s="28" t="s">
        <v>371</v>
      </c>
      <c r="D235" s="28" t="s">
        <v>2055</v>
      </c>
      <c r="E235" s="3" t="s">
        <v>2973</v>
      </c>
      <c r="F235" s="27">
        <v>1</v>
      </c>
      <c r="G235" s="28" t="s">
        <v>371</v>
      </c>
      <c r="H235" s="29"/>
    </row>
    <row r="236" spans="1:8" s="22" customFormat="1" ht="15.9" customHeight="1">
      <c r="A236" s="27">
        <v>232</v>
      </c>
      <c r="B236" s="3" t="s">
        <v>1140</v>
      </c>
      <c r="C236" s="28" t="s">
        <v>371</v>
      </c>
      <c r="D236" s="28" t="s">
        <v>2056</v>
      </c>
      <c r="E236" s="3" t="s">
        <v>2974</v>
      </c>
      <c r="F236" s="27">
        <v>1</v>
      </c>
      <c r="G236" s="28" t="s">
        <v>371</v>
      </c>
      <c r="H236" s="29"/>
    </row>
    <row r="237" spans="1:8" s="22" customFormat="1" ht="15.9" customHeight="1">
      <c r="A237" s="27">
        <v>233</v>
      </c>
      <c r="B237" s="3" t="s">
        <v>1141</v>
      </c>
      <c r="C237" s="28" t="s">
        <v>371</v>
      </c>
      <c r="D237" s="28" t="s">
        <v>2057</v>
      </c>
      <c r="E237" s="3" t="s">
        <v>2975</v>
      </c>
      <c r="F237" s="27">
        <v>1</v>
      </c>
      <c r="G237" s="28" t="s">
        <v>371</v>
      </c>
      <c r="H237" s="29"/>
    </row>
    <row r="238" spans="1:8" s="22" customFormat="1" ht="15.9" customHeight="1">
      <c r="A238" s="27">
        <v>234</v>
      </c>
      <c r="B238" s="3" t="s">
        <v>1142</v>
      </c>
      <c r="C238" s="28" t="s">
        <v>3724</v>
      </c>
      <c r="D238" s="28" t="s">
        <v>2058</v>
      </c>
      <c r="E238" s="3" t="s">
        <v>2976</v>
      </c>
      <c r="F238" s="27">
        <v>1</v>
      </c>
      <c r="G238" s="28" t="s">
        <v>371</v>
      </c>
      <c r="H238" s="29"/>
    </row>
    <row r="239" spans="1:8" s="22" customFormat="1" ht="15.9" customHeight="1">
      <c r="A239" s="27">
        <v>235</v>
      </c>
      <c r="B239" s="3" t="s">
        <v>1143</v>
      </c>
      <c r="C239" s="28" t="s">
        <v>3677</v>
      </c>
      <c r="D239" s="28" t="s">
        <v>2059</v>
      </c>
      <c r="E239" s="3" t="s">
        <v>2977</v>
      </c>
      <c r="F239" s="27">
        <v>1</v>
      </c>
      <c r="G239" s="28" t="s">
        <v>371</v>
      </c>
      <c r="H239" s="29"/>
    </row>
    <row r="240" spans="1:8" s="22" customFormat="1" ht="15.9" customHeight="1">
      <c r="A240" s="27">
        <v>236</v>
      </c>
      <c r="B240" s="3" t="s">
        <v>1144</v>
      </c>
      <c r="C240" s="28" t="s">
        <v>371</v>
      </c>
      <c r="D240" s="28" t="s">
        <v>2060</v>
      </c>
      <c r="E240" s="3" t="s">
        <v>2978</v>
      </c>
      <c r="F240" s="27">
        <v>1</v>
      </c>
      <c r="G240" s="28" t="s">
        <v>371</v>
      </c>
      <c r="H240" s="29"/>
    </row>
    <row r="241" spans="1:8" s="22" customFormat="1" ht="15.9" customHeight="1">
      <c r="A241" s="27">
        <v>237</v>
      </c>
      <c r="B241" s="3" t="s">
        <v>1145</v>
      </c>
      <c r="C241" s="28" t="s">
        <v>371</v>
      </c>
      <c r="D241" s="28" t="s">
        <v>2061</v>
      </c>
      <c r="E241" s="3" t="s">
        <v>2979</v>
      </c>
      <c r="F241" s="27">
        <v>1</v>
      </c>
      <c r="G241" s="28" t="s">
        <v>371</v>
      </c>
      <c r="H241" s="29"/>
    </row>
    <row r="242" spans="1:8" s="22" customFormat="1" ht="15.9" customHeight="1">
      <c r="A242" s="27">
        <v>238</v>
      </c>
      <c r="B242" s="3" t="s">
        <v>1146</v>
      </c>
      <c r="C242" s="28" t="s">
        <v>371</v>
      </c>
      <c r="D242" s="28" t="s">
        <v>2062</v>
      </c>
      <c r="E242" s="3" t="s">
        <v>2980</v>
      </c>
      <c r="F242" s="27">
        <v>1</v>
      </c>
      <c r="G242" s="28" t="s">
        <v>371</v>
      </c>
      <c r="H242" s="29"/>
    </row>
    <row r="243" spans="1:8" s="22" customFormat="1" ht="15.9" customHeight="1">
      <c r="A243" s="27">
        <v>239</v>
      </c>
      <c r="B243" s="3" t="s">
        <v>1147</v>
      </c>
      <c r="C243" s="28" t="s">
        <v>3725</v>
      </c>
      <c r="D243" s="28" t="s">
        <v>2063</v>
      </c>
      <c r="E243" s="3" t="s">
        <v>2981</v>
      </c>
      <c r="F243" s="27">
        <v>1</v>
      </c>
      <c r="G243" s="28" t="s">
        <v>371</v>
      </c>
      <c r="H243" s="29"/>
    </row>
    <row r="244" spans="1:8" s="22" customFormat="1" ht="15.9" customHeight="1">
      <c r="A244" s="27">
        <v>240</v>
      </c>
      <c r="B244" s="3" t="s">
        <v>1148</v>
      </c>
      <c r="C244" s="28" t="s">
        <v>4534</v>
      </c>
      <c r="D244" s="28" t="s">
        <v>2064</v>
      </c>
      <c r="E244" s="3" t="s">
        <v>2982</v>
      </c>
      <c r="F244" s="27">
        <v>1</v>
      </c>
      <c r="G244" s="28" t="s">
        <v>371</v>
      </c>
      <c r="H244" s="29"/>
    </row>
    <row r="245" spans="1:8" s="22" customFormat="1" ht="15.9" customHeight="1">
      <c r="A245" s="27">
        <v>241</v>
      </c>
      <c r="B245" s="3" t="s">
        <v>1149</v>
      </c>
      <c r="C245" s="28" t="s">
        <v>3695</v>
      </c>
      <c r="D245" s="28" t="s">
        <v>2065</v>
      </c>
      <c r="E245" s="3" t="s">
        <v>2983</v>
      </c>
      <c r="F245" s="27">
        <v>1</v>
      </c>
      <c r="G245" s="28" t="s">
        <v>371</v>
      </c>
      <c r="H245" s="29"/>
    </row>
    <row r="246" spans="1:8" s="22" customFormat="1" ht="15.9" customHeight="1">
      <c r="A246" s="27">
        <v>242</v>
      </c>
      <c r="B246" s="3" t="s">
        <v>1150</v>
      </c>
      <c r="C246" s="28" t="s">
        <v>4933</v>
      </c>
      <c r="D246" s="28" t="s">
        <v>2066</v>
      </c>
      <c r="E246" s="3" t="s">
        <v>2984</v>
      </c>
      <c r="F246" s="27">
        <v>1</v>
      </c>
      <c r="G246" s="28" t="s">
        <v>371</v>
      </c>
      <c r="H246" s="29"/>
    </row>
    <row r="247" spans="1:8" s="22" customFormat="1" ht="15.9" customHeight="1">
      <c r="A247" s="27">
        <v>243</v>
      </c>
      <c r="B247" s="3" t="s">
        <v>1151</v>
      </c>
      <c r="C247" s="28" t="s">
        <v>3726</v>
      </c>
      <c r="D247" s="28" t="s">
        <v>2067</v>
      </c>
      <c r="E247" s="3" t="s">
        <v>2985</v>
      </c>
      <c r="F247" s="27">
        <v>1</v>
      </c>
      <c r="G247" s="28" t="s">
        <v>371</v>
      </c>
      <c r="H247" s="29"/>
    </row>
    <row r="248" spans="1:8" s="22" customFormat="1" ht="15.9" customHeight="1">
      <c r="A248" s="27">
        <v>244</v>
      </c>
      <c r="B248" s="3" t="s">
        <v>1152</v>
      </c>
      <c r="C248" s="28" t="s">
        <v>3727</v>
      </c>
      <c r="D248" s="28" t="s">
        <v>2068</v>
      </c>
      <c r="E248" s="3" t="s">
        <v>2986</v>
      </c>
      <c r="F248" s="27">
        <v>1</v>
      </c>
      <c r="G248" s="28" t="s">
        <v>371</v>
      </c>
      <c r="H248" s="29"/>
    </row>
    <row r="249" spans="1:8" s="22" customFormat="1" ht="15.9" customHeight="1">
      <c r="A249" s="27">
        <v>245</v>
      </c>
      <c r="B249" s="3" t="s">
        <v>1153</v>
      </c>
      <c r="C249" s="28" t="s">
        <v>4535</v>
      </c>
      <c r="D249" s="28" t="s">
        <v>2069</v>
      </c>
      <c r="E249" s="3" t="s">
        <v>2987</v>
      </c>
      <c r="F249" s="27">
        <v>1</v>
      </c>
      <c r="G249" s="28" t="s">
        <v>371</v>
      </c>
      <c r="H249" s="29"/>
    </row>
    <row r="250" spans="1:8" s="22" customFormat="1" ht="15.9" customHeight="1">
      <c r="A250" s="27">
        <v>246</v>
      </c>
      <c r="B250" s="3" t="s">
        <v>1154</v>
      </c>
      <c r="C250" s="28" t="s">
        <v>3686</v>
      </c>
      <c r="D250" s="28" t="s">
        <v>2070</v>
      </c>
      <c r="E250" s="3" t="s">
        <v>2988</v>
      </c>
      <c r="F250" s="27">
        <v>1</v>
      </c>
      <c r="G250" s="28" t="s">
        <v>371</v>
      </c>
      <c r="H250" s="29"/>
    </row>
    <row r="251" spans="1:8" s="22" customFormat="1" ht="15.9" customHeight="1">
      <c r="A251" s="27">
        <v>247</v>
      </c>
      <c r="B251" s="3" t="s">
        <v>1155</v>
      </c>
      <c r="C251" s="28" t="s">
        <v>3728</v>
      </c>
      <c r="D251" s="28" t="s">
        <v>2071</v>
      </c>
      <c r="E251" s="3" t="s">
        <v>2989</v>
      </c>
      <c r="F251" s="27">
        <v>1</v>
      </c>
      <c r="G251" s="28" t="s">
        <v>371</v>
      </c>
      <c r="H251" s="29"/>
    </row>
    <row r="252" spans="1:8" s="22" customFormat="1" ht="15.9" customHeight="1">
      <c r="A252" s="27">
        <v>248</v>
      </c>
      <c r="B252" s="3" t="s">
        <v>1156</v>
      </c>
      <c r="C252" s="28" t="s">
        <v>3729</v>
      </c>
      <c r="D252" s="28" t="s">
        <v>2072</v>
      </c>
      <c r="E252" s="3" t="s">
        <v>2990</v>
      </c>
      <c r="F252" s="27">
        <v>1</v>
      </c>
      <c r="G252" s="28" t="s">
        <v>371</v>
      </c>
      <c r="H252" s="29"/>
    </row>
    <row r="253" spans="1:8" s="22" customFormat="1" ht="15.9" customHeight="1">
      <c r="A253" s="27">
        <v>249</v>
      </c>
      <c r="B253" s="3" t="s">
        <v>1157</v>
      </c>
      <c r="C253" s="28" t="s">
        <v>371</v>
      </c>
      <c r="D253" s="28" t="s">
        <v>2073</v>
      </c>
      <c r="E253" s="3" t="s">
        <v>2991</v>
      </c>
      <c r="F253" s="27">
        <v>1</v>
      </c>
      <c r="G253" s="28" t="s">
        <v>371</v>
      </c>
      <c r="H253" s="29"/>
    </row>
    <row r="254" spans="1:8" s="22" customFormat="1" ht="15.9" customHeight="1">
      <c r="A254" s="27">
        <v>250</v>
      </c>
      <c r="B254" s="3" t="s">
        <v>1158</v>
      </c>
      <c r="C254" s="28" t="s">
        <v>371</v>
      </c>
      <c r="D254" s="28" t="s">
        <v>2074</v>
      </c>
      <c r="E254" s="3" t="s">
        <v>2992</v>
      </c>
      <c r="F254" s="27">
        <v>1</v>
      </c>
      <c r="G254" s="28" t="s">
        <v>371</v>
      </c>
      <c r="H254" s="29"/>
    </row>
    <row r="255" spans="1:8" s="22" customFormat="1" ht="15.9" customHeight="1">
      <c r="A255" s="27">
        <v>251</v>
      </c>
      <c r="B255" s="3" t="s">
        <v>1159</v>
      </c>
      <c r="C255" s="28" t="s">
        <v>371</v>
      </c>
      <c r="D255" s="28" t="s">
        <v>2075</v>
      </c>
      <c r="E255" s="3" t="s">
        <v>2993</v>
      </c>
      <c r="F255" s="27">
        <v>1</v>
      </c>
      <c r="G255" s="28" t="s">
        <v>371</v>
      </c>
      <c r="H255" s="29"/>
    </row>
    <row r="256" spans="1:8" s="22" customFormat="1" ht="15.9" customHeight="1">
      <c r="A256" s="27">
        <v>252</v>
      </c>
      <c r="B256" s="3" t="s">
        <v>1160</v>
      </c>
      <c r="C256" s="28" t="s">
        <v>4536</v>
      </c>
      <c r="D256" s="28" t="s">
        <v>2076</v>
      </c>
      <c r="E256" s="3" t="s">
        <v>2994</v>
      </c>
      <c r="F256" s="27">
        <v>1</v>
      </c>
      <c r="G256" s="28" t="s">
        <v>371</v>
      </c>
      <c r="H256" s="29"/>
    </row>
    <row r="257" spans="1:8" s="22" customFormat="1" ht="15.9" customHeight="1">
      <c r="A257" s="27">
        <v>253</v>
      </c>
      <c r="B257" s="3" t="s">
        <v>1161</v>
      </c>
      <c r="C257" s="28" t="s">
        <v>3677</v>
      </c>
      <c r="D257" s="28" t="s">
        <v>2077</v>
      </c>
      <c r="E257" s="3" t="s">
        <v>2995</v>
      </c>
      <c r="F257" s="27">
        <v>1</v>
      </c>
      <c r="G257" s="28" t="s">
        <v>371</v>
      </c>
      <c r="H257" s="29"/>
    </row>
    <row r="258" spans="1:8" s="22" customFormat="1" ht="15.9" customHeight="1">
      <c r="A258" s="27">
        <v>254</v>
      </c>
      <c r="B258" s="3" t="s">
        <v>1162</v>
      </c>
      <c r="C258" s="28" t="s">
        <v>371</v>
      </c>
      <c r="D258" s="28" t="s">
        <v>2078</v>
      </c>
      <c r="E258" s="3" t="s">
        <v>2996</v>
      </c>
      <c r="F258" s="27">
        <v>1</v>
      </c>
      <c r="G258" s="28" t="s">
        <v>371</v>
      </c>
      <c r="H258" s="29"/>
    </row>
    <row r="259" spans="1:8" s="22" customFormat="1" ht="15.9" customHeight="1">
      <c r="A259" s="27">
        <v>255</v>
      </c>
      <c r="B259" s="3" t="s">
        <v>1163</v>
      </c>
      <c r="C259" s="28" t="s">
        <v>3698</v>
      </c>
      <c r="D259" s="28" t="s">
        <v>2079</v>
      </c>
      <c r="E259" s="3" t="s">
        <v>2997</v>
      </c>
      <c r="F259" s="27">
        <v>1</v>
      </c>
      <c r="G259" s="28" t="s">
        <v>371</v>
      </c>
      <c r="H259" s="29"/>
    </row>
    <row r="260" spans="1:8" s="22" customFormat="1" ht="15.9" customHeight="1">
      <c r="A260" s="27">
        <v>256</v>
      </c>
      <c r="B260" s="3" t="s">
        <v>1164</v>
      </c>
      <c r="C260" s="28" t="s">
        <v>3730</v>
      </c>
      <c r="D260" s="28" t="s">
        <v>2080</v>
      </c>
      <c r="E260" s="3" t="s">
        <v>2998</v>
      </c>
      <c r="F260" s="27">
        <v>1</v>
      </c>
      <c r="G260" s="28" t="s">
        <v>371</v>
      </c>
      <c r="H260" s="29"/>
    </row>
    <row r="261" spans="1:8" s="22" customFormat="1" ht="15.9" customHeight="1">
      <c r="A261" s="27">
        <v>257</v>
      </c>
      <c r="B261" s="3" t="s">
        <v>1165</v>
      </c>
      <c r="C261" s="28" t="s">
        <v>4537</v>
      </c>
      <c r="D261" s="28" t="s">
        <v>2081</v>
      </c>
      <c r="E261" s="3" t="s">
        <v>2999</v>
      </c>
      <c r="F261" s="27">
        <v>1</v>
      </c>
      <c r="G261" s="28" t="s">
        <v>371</v>
      </c>
      <c r="H261" s="29"/>
    </row>
    <row r="262" spans="1:8" s="22" customFormat="1" ht="15.9" customHeight="1">
      <c r="A262" s="27">
        <v>258</v>
      </c>
      <c r="B262" s="3" t="s">
        <v>1166</v>
      </c>
      <c r="C262" s="28" t="s">
        <v>4538</v>
      </c>
      <c r="D262" s="28" t="s">
        <v>2082</v>
      </c>
      <c r="E262" s="3" t="s">
        <v>3000</v>
      </c>
      <c r="F262" s="27">
        <v>1</v>
      </c>
      <c r="G262" s="28" t="s">
        <v>371</v>
      </c>
      <c r="H262" s="29"/>
    </row>
    <row r="263" spans="1:8" s="22" customFormat="1" ht="15.9" customHeight="1">
      <c r="A263" s="27">
        <v>259</v>
      </c>
      <c r="B263" s="3" t="s">
        <v>1167</v>
      </c>
      <c r="C263" s="28" t="s">
        <v>3731</v>
      </c>
      <c r="D263" s="28" t="s">
        <v>2083</v>
      </c>
      <c r="E263" s="3" t="s">
        <v>3001</v>
      </c>
      <c r="F263" s="27">
        <v>1</v>
      </c>
      <c r="G263" s="28" t="s">
        <v>371</v>
      </c>
      <c r="H263" s="29"/>
    </row>
    <row r="264" spans="1:8" s="22" customFormat="1" ht="15.9" customHeight="1">
      <c r="A264" s="27">
        <v>260</v>
      </c>
      <c r="B264" s="3" t="s">
        <v>1168</v>
      </c>
      <c r="C264" s="28" t="s">
        <v>371</v>
      </c>
      <c r="D264" s="28" t="s">
        <v>2084</v>
      </c>
      <c r="E264" s="3" t="s">
        <v>3002</v>
      </c>
      <c r="F264" s="27">
        <v>1</v>
      </c>
      <c r="G264" s="28" t="s">
        <v>371</v>
      </c>
      <c r="H264" s="29"/>
    </row>
    <row r="265" spans="1:8" s="22" customFormat="1" ht="15.9" customHeight="1">
      <c r="A265" s="27">
        <v>261</v>
      </c>
      <c r="B265" s="3" t="s">
        <v>1169</v>
      </c>
      <c r="C265" s="28" t="s">
        <v>371</v>
      </c>
      <c r="D265" s="28" t="s">
        <v>2085</v>
      </c>
      <c r="E265" s="3" t="s">
        <v>3003</v>
      </c>
      <c r="F265" s="27">
        <v>1</v>
      </c>
      <c r="G265" s="28" t="s">
        <v>371</v>
      </c>
      <c r="H265" s="29"/>
    </row>
    <row r="266" spans="1:8" s="22" customFormat="1" ht="15.9" customHeight="1">
      <c r="A266" s="27">
        <v>262</v>
      </c>
      <c r="B266" s="3" t="s">
        <v>1170</v>
      </c>
      <c r="C266" s="28" t="s">
        <v>3695</v>
      </c>
      <c r="D266" s="28" t="s">
        <v>2086</v>
      </c>
      <c r="E266" s="3" t="s">
        <v>3004</v>
      </c>
      <c r="F266" s="27">
        <v>1</v>
      </c>
      <c r="G266" s="28" t="s">
        <v>371</v>
      </c>
      <c r="H266" s="29"/>
    </row>
    <row r="267" spans="1:8" s="22" customFormat="1" ht="15.9" customHeight="1">
      <c r="A267" s="27">
        <v>263</v>
      </c>
      <c r="B267" s="3" t="s">
        <v>1171</v>
      </c>
      <c r="C267" s="28" t="s">
        <v>371</v>
      </c>
      <c r="D267" s="28" t="s">
        <v>2087</v>
      </c>
      <c r="E267" s="3" t="s">
        <v>3005</v>
      </c>
      <c r="F267" s="27">
        <v>1</v>
      </c>
      <c r="G267" s="28" t="s">
        <v>371</v>
      </c>
      <c r="H267" s="29"/>
    </row>
    <row r="268" spans="1:8" s="22" customFormat="1" ht="15.9" customHeight="1">
      <c r="A268" s="27">
        <v>264</v>
      </c>
      <c r="B268" s="3" t="s">
        <v>1172</v>
      </c>
      <c r="C268" s="28" t="s">
        <v>4506</v>
      </c>
      <c r="D268" s="28" t="s">
        <v>2088</v>
      </c>
      <c r="E268" s="3" t="s">
        <v>3006</v>
      </c>
      <c r="F268" s="27">
        <v>1</v>
      </c>
      <c r="G268" s="28" t="s">
        <v>371</v>
      </c>
      <c r="H268" s="29"/>
    </row>
    <row r="269" spans="1:8" s="22" customFormat="1" ht="15.9" customHeight="1">
      <c r="A269" s="27">
        <v>265</v>
      </c>
      <c r="B269" s="3" t="s">
        <v>1173</v>
      </c>
      <c r="C269" s="28" t="s">
        <v>371</v>
      </c>
      <c r="D269" s="28" t="s">
        <v>2089</v>
      </c>
      <c r="E269" s="3" t="s">
        <v>3007</v>
      </c>
      <c r="F269" s="27">
        <v>1</v>
      </c>
      <c r="G269" s="28" t="s">
        <v>371</v>
      </c>
      <c r="H269" s="29"/>
    </row>
    <row r="270" spans="1:8" s="22" customFormat="1" ht="15.9" customHeight="1">
      <c r="A270" s="27">
        <v>266</v>
      </c>
      <c r="B270" s="3" t="s">
        <v>1174</v>
      </c>
      <c r="C270" s="28" t="s">
        <v>3732</v>
      </c>
      <c r="D270" s="28" t="s">
        <v>2090</v>
      </c>
      <c r="E270" s="3" t="s">
        <v>3008</v>
      </c>
      <c r="F270" s="27">
        <v>1</v>
      </c>
      <c r="G270" s="28" t="s">
        <v>371</v>
      </c>
      <c r="H270" s="29"/>
    </row>
    <row r="271" spans="1:8" s="22" customFormat="1" ht="15.9" customHeight="1">
      <c r="A271" s="27">
        <v>267</v>
      </c>
      <c r="B271" s="3" t="s">
        <v>1175</v>
      </c>
      <c r="C271" s="28" t="s">
        <v>371</v>
      </c>
      <c r="D271" s="28" t="s">
        <v>2091</v>
      </c>
      <c r="E271" s="3" t="s">
        <v>3009</v>
      </c>
      <c r="F271" s="27">
        <v>1</v>
      </c>
      <c r="G271" s="28" t="s">
        <v>371</v>
      </c>
      <c r="H271" s="29"/>
    </row>
    <row r="272" spans="1:8" s="22" customFormat="1" ht="15.9" customHeight="1">
      <c r="A272" s="27">
        <v>268</v>
      </c>
      <c r="B272" s="3" t="s">
        <v>1176</v>
      </c>
      <c r="C272" s="28" t="s">
        <v>3733</v>
      </c>
      <c r="D272" s="28" t="s">
        <v>2092</v>
      </c>
      <c r="E272" s="3" t="s">
        <v>3010</v>
      </c>
      <c r="F272" s="27">
        <v>1</v>
      </c>
      <c r="G272" s="28" t="s">
        <v>371</v>
      </c>
      <c r="H272" s="29"/>
    </row>
    <row r="273" spans="1:8" s="22" customFormat="1" ht="15.9" customHeight="1">
      <c r="A273" s="27">
        <v>269</v>
      </c>
      <c r="B273" s="3" t="s">
        <v>1177</v>
      </c>
      <c r="C273" s="28" t="s">
        <v>371</v>
      </c>
      <c r="D273" s="28" t="s">
        <v>2093</v>
      </c>
      <c r="E273" s="3" t="s">
        <v>3011</v>
      </c>
      <c r="F273" s="27">
        <v>1</v>
      </c>
      <c r="G273" s="28" t="s">
        <v>371</v>
      </c>
      <c r="H273" s="29"/>
    </row>
    <row r="274" spans="1:8" s="22" customFormat="1" ht="15.9" customHeight="1">
      <c r="A274" s="27">
        <v>270</v>
      </c>
      <c r="B274" s="3" t="s">
        <v>1178</v>
      </c>
      <c r="C274" s="28" t="s">
        <v>3734</v>
      </c>
      <c r="D274" s="28" t="s">
        <v>2094</v>
      </c>
      <c r="E274" s="3" t="s">
        <v>3012</v>
      </c>
      <c r="F274" s="27">
        <v>1</v>
      </c>
      <c r="G274" s="28" t="s">
        <v>371</v>
      </c>
      <c r="H274" s="29"/>
    </row>
    <row r="275" spans="1:8" s="22" customFormat="1" ht="15.9" customHeight="1">
      <c r="A275" s="27">
        <v>271</v>
      </c>
      <c r="B275" s="3" t="s">
        <v>1179</v>
      </c>
      <c r="C275" s="28" t="s">
        <v>3735</v>
      </c>
      <c r="D275" s="28" t="s">
        <v>2095</v>
      </c>
      <c r="E275" s="3" t="s">
        <v>3013</v>
      </c>
      <c r="F275" s="27">
        <v>1</v>
      </c>
      <c r="G275" s="28" t="s">
        <v>371</v>
      </c>
      <c r="H275" s="29"/>
    </row>
    <row r="276" spans="1:8" s="22" customFormat="1" ht="15.9" customHeight="1">
      <c r="A276" s="27">
        <v>272</v>
      </c>
      <c r="B276" s="3" t="s">
        <v>1180</v>
      </c>
      <c r="C276" s="28" t="s">
        <v>371</v>
      </c>
      <c r="D276" s="28" t="s">
        <v>2096</v>
      </c>
      <c r="E276" s="3" t="s">
        <v>3014</v>
      </c>
      <c r="F276" s="27">
        <v>1</v>
      </c>
      <c r="G276" s="28" t="s">
        <v>371</v>
      </c>
      <c r="H276" s="29"/>
    </row>
    <row r="277" spans="1:8" s="22" customFormat="1" ht="15.9" customHeight="1">
      <c r="A277" s="27">
        <v>273</v>
      </c>
      <c r="B277" s="3" t="s">
        <v>1181</v>
      </c>
      <c r="C277" s="28" t="s">
        <v>3736</v>
      </c>
      <c r="D277" s="28" t="s">
        <v>2097</v>
      </c>
      <c r="E277" s="3" t="s">
        <v>3015</v>
      </c>
      <c r="F277" s="27">
        <v>1</v>
      </c>
      <c r="G277" s="28" t="s">
        <v>371</v>
      </c>
      <c r="H277" s="29"/>
    </row>
    <row r="278" spans="1:8" s="22" customFormat="1" ht="15.9" customHeight="1">
      <c r="A278" s="27">
        <v>274</v>
      </c>
      <c r="B278" s="3" t="s">
        <v>1182</v>
      </c>
      <c r="C278" s="28" t="s">
        <v>3695</v>
      </c>
      <c r="D278" s="28" t="s">
        <v>2098</v>
      </c>
      <c r="E278" s="3" t="s">
        <v>3016</v>
      </c>
      <c r="F278" s="27">
        <v>1</v>
      </c>
      <c r="G278" s="28" t="s">
        <v>371</v>
      </c>
      <c r="H278" s="29"/>
    </row>
    <row r="279" spans="1:8" s="22" customFormat="1" ht="15.9" customHeight="1">
      <c r="A279" s="27">
        <v>275</v>
      </c>
      <c r="B279" s="3" t="s">
        <v>1183</v>
      </c>
      <c r="C279" s="28" t="s">
        <v>3737</v>
      </c>
      <c r="D279" s="28" t="s">
        <v>2099</v>
      </c>
      <c r="E279" s="3" t="s">
        <v>3017</v>
      </c>
      <c r="F279" s="27">
        <v>1</v>
      </c>
      <c r="G279" s="28" t="s">
        <v>371</v>
      </c>
      <c r="H279" s="29"/>
    </row>
    <row r="280" spans="1:8" s="22" customFormat="1" ht="15.9" customHeight="1">
      <c r="A280" s="27">
        <v>276</v>
      </c>
      <c r="B280" s="3" t="s">
        <v>1184</v>
      </c>
      <c r="C280" s="28" t="s">
        <v>4478</v>
      </c>
      <c r="D280" s="28" t="s">
        <v>2100</v>
      </c>
      <c r="E280" s="3" t="s">
        <v>3018</v>
      </c>
      <c r="F280" s="27">
        <v>1</v>
      </c>
      <c r="G280" s="28" t="s">
        <v>371</v>
      </c>
      <c r="H280" s="29"/>
    </row>
    <row r="281" spans="1:8" s="22" customFormat="1" ht="15.9" customHeight="1">
      <c r="A281" s="27">
        <v>277</v>
      </c>
      <c r="B281" s="3" t="s">
        <v>1185</v>
      </c>
      <c r="C281" s="28" t="s">
        <v>3677</v>
      </c>
      <c r="D281" s="28" t="s">
        <v>2101</v>
      </c>
      <c r="E281" s="3" t="s">
        <v>3019</v>
      </c>
      <c r="F281" s="27">
        <v>1</v>
      </c>
      <c r="G281" s="28" t="s">
        <v>371</v>
      </c>
      <c r="H281" s="29"/>
    </row>
    <row r="282" spans="1:8" s="22" customFormat="1" ht="15.9" customHeight="1">
      <c r="A282" s="27">
        <v>278</v>
      </c>
      <c r="B282" s="3" t="s">
        <v>1186</v>
      </c>
      <c r="C282" s="28" t="s">
        <v>94</v>
      </c>
      <c r="D282" s="28" t="s">
        <v>2102</v>
      </c>
      <c r="E282" s="3" t="s">
        <v>3020</v>
      </c>
      <c r="F282" s="27">
        <v>1</v>
      </c>
      <c r="G282" s="28" t="s">
        <v>371</v>
      </c>
      <c r="H282" s="29"/>
    </row>
    <row r="283" spans="1:8" s="22" customFormat="1" ht="15.9" customHeight="1">
      <c r="A283" s="27">
        <v>279</v>
      </c>
      <c r="B283" s="3" t="s">
        <v>1187</v>
      </c>
      <c r="C283" s="28" t="s">
        <v>371</v>
      </c>
      <c r="D283" s="28" t="s">
        <v>2103</v>
      </c>
      <c r="E283" s="3" t="s">
        <v>3021</v>
      </c>
      <c r="F283" s="27">
        <v>1</v>
      </c>
      <c r="G283" s="28" t="s">
        <v>371</v>
      </c>
      <c r="H283" s="29"/>
    </row>
    <row r="284" spans="1:8" s="22" customFormat="1" ht="15.9" customHeight="1">
      <c r="A284" s="27">
        <v>280</v>
      </c>
      <c r="B284" s="3" t="s">
        <v>1188</v>
      </c>
      <c r="C284" s="28" t="s">
        <v>3738</v>
      </c>
      <c r="D284" s="28" t="s">
        <v>2104</v>
      </c>
      <c r="E284" s="3" t="s">
        <v>3022</v>
      </c>
      <c r="F284" s="27">
        <v>1</v>
      </c>
      <c r="G284" s="28" t="s">
        <v>371</v>
      </c>
      <c r="H284" s="29"/>
    </row>
    <row r="285" spans="1:8" s="22" customFormat="1" ht="15.9" customHeight="1">
      <c r="A285" s="27">
        <v>281</v>
      </c>
      <c r="B285" s="3" t="s">
        <v>1189</v>
      </c>
      <c r="C285" s="28" t="s">
        <v>3739</v>
      </c>
      <c r="D285" s="28" t="s">
        <v>2105</v>
      </c>
      <c r="E285" s="3" t="s">
        <v>3023</v>
      </c>
      <c r="F285" s="27">
        <v>1</v>
      </c>
      <c r="G285" s="28" t="s">
        <v>371</v>
      </c>
      <c r="H285" s="29"/>
    </row>
    <row r="286" spans="1:8" s="22" customFormat="1" ht="15.9" customHeight="1">
      <c r="A286" s="27">
        <v>282</v>
      </c>
      <c r="B286" s="3" t="s">
        <v>1190</v>
      </c>
      <c r="C286" s="28" t="s">
        <v>371</v>
      </c>
      <c r="D286" s="28" t="s">
        <v>2106</v>
      </c>
      <c r="E286" s="3" t="s">
        <v>3024</v>
      </c>
      <c r="F286" s="27">
        <v>1</v>
      </c>
      <c r="G286" s="28" t="s">
        <v>371</v>
      </c>
      <c r="H286" s="29"/>
    </row>
    <row r="287" spans="1:8" s="22" customFormat="1" ht="15.9" customHeight="1">
      <c r="A287" s="27">
        <v>283</v>
      </c>
      <c r="B287" s="3" t="s">
        <v>1191</v>
      </c>
      <c r="C287" s="28" t="s">
        <v>371</v>
      </c>
      <c r="D287" s="28" t="s">
        <v>2107</v>
      </c>
      <c r="E287" s="3" t="s">
        <v>3025</v>
      </c>
      <c r="F287" s="27">
        <v>1</v>
      </c>
      <c r="G287" s="28" t="s">
        <v>371</v>
      </c>
      <c r="H287" s="29"/>
    </row>
    <row r="288" spans="1:8" s="22" customFormat="1" ht="15.9" customHeight="1">
      <c r="A288" s="27">
        <v>284</v>
      </c>
      <c r="B288" s="3" t="s">
        <v>1192</v>
      </c>
      <c r="C288" s="28" t="s">
        <v>371</v>
      </c>
      <c r="D288" s="28" t="s">
        <v>2108</v>
      </c>
      <c r="E288" s="3" t="s">
        <v>3026</v>
      </c>
      <c r="F288" s="27">
        <v>1</v>
      </c>
      <c r="G288" s="28" t="s">
        <v>371</v>
      </c>
      <c r="H288" s="29"/>
    </row>
    <row r="289" spans="1:8" s="22" customFormat="1" ht="15.9" customHeight="1">
      <c r="A289" s="27">
        <v>285</v>
      </c>
      <c r="B289" s="3" t="s">
        <v>1193</v>
      </c>
      <c r="C289" s="28" t="s">
        <v>4934</v>
      </c>
      <c r="D289" s="28" t="s">
        <v>2109</v>
      </c>
      <c r="E289" s="3" t="s">
        <v>3027</v>
      </c>
      <c r="F289" s="27">
        <v>1</v>
      </c>
      <c r="G289" s="28" t="s">
        <v>371</v>
      </c>
      <c r="H289" s="29"/>
    </row>
    <row r="290" spans="1:8" s="22" customFormat="1" ht="15.9" customHeight="1">
      <c r="A290" s="27">
        <v>286</v>
      </c>
      <c r="B290" s="3" t="s">
        <v>1194</v>
      </c>
      <c r="C290" s="28" t="s">
        <v>3677</v>
      </c>
      <c r="D290" s="28" t="s">
        <v>2110</v>
      </c>
      <c r="E290" s="3" t="s">
        <v>3028</v>
      </c>
      <c r="F290" s="27">
        <v>1</v>
      </c>
      <c r="G290" s="28" t="s">
        <v>371</v>
      </c>
      <c r="H290" s="29"/>
    </row>
    <row r="291" spans="1:8" s="22" customFormat="1" ht="15.9" customHeight="1">
      <c r="A291" s="27">
        <v>287</v>
      </c>
      <c r="B291" s="3" t="s">
        <v>1195</v>
      </c>
      <c r="C291" s="28" t="s">
        <v>4539</v>
      </c>
      <c r="D291" s="28" t="s">
        <v>2111</v>
      </c>
      <c r="E291" s="3" t="s">
        <v>3029</v>
      </c>
      <c r="F291" s="27">
        <v>1</v>
      </c>
      <c r="G291" s="28" t="s">
        <v>371</v>
      </c>
      <c r="H291" s="29"/>
    </row>
    <row r="292" spans="1:8" s="22" customFormat="1" ht="15.9" customHeight="1">
      <c r="A292" s="27">
        <v>288</v>
      </c>
      <c r="B292" s="3" t="s">
        <v>1196</v>
      </c>
      <c r="C292" s="28" t="s">
        <v>4540</v>
      </c>
      <c r="D292" s="28" t="s">
        <v>2112</v>
      </c>
      <c r="E292" s="3" t="s">
        <v>3030</v>
      </c>
      <c r="F292" s="27">
        <v>1</v>
      </c>
      <c r="G292" s="28" t="s">
        <v>371</v>
      </c>
      <c r="H292" s="29"/>
    </row>
    <row r="293" spans="1:8" s="22" customFormat="1" ht="15.9" customHeight="1">
      <c r="A293" s="27">
        <v>289</v>
      </c>
      <c r="B293" s="3" t="s">
        <v>1197</v>
      </c>
      <c r="C293" s="28" t="s">
        <v>3677</v>
      </c>
      <c r="D293" s="28" t="s">
        <v>2113</v>
      </c>
      <c r="E293" s="3" t="s">
        <v>3031</v>
      </c>
      <c r="F293" s="27">
        <v>1</v>
      </c>
      <c r="G293" s="28" t="s">
        <v>371</v>
      </c>
      <c r="H293" s="29"/>
    </row>
    <row r="294" spans="1:8" s="22" customFormat="1" ht="15.9" customHeight="1">
      <c r="A294" s="27">
        <v>290</v>
      </c>
      <c r="B294" s="3" t="s">
        <v>1198</v>
      </c>
      <c r="C294" s="28" t="s">
        <v>371</v>
      </c>
      <c r="D294" s="28" t="s">
        <v>2114</v>
      </c>
      <c r="E294" s="3" t="s">
        <v>3032</v>
      </c>
      <c r="F294" s="27">
        <v>1</v>
      </c>
      <c r="G294" s="28" t="s">
        <v>371</v>
      </c>
      <c r="H294" s="29"/>
    </row>
    <row r="295" spans="1:8" s="22" customFormat="1" ht="15.9" customHeight="1">
      <c r="A295" s="27">
        <v>291</v>
      </c>
      <c r="B295" s="3" t="s">
        <v>1199</v>
      </c>
      <c r="C295" s="28" t="s">
        <v>2115</v>
      </c>
      <c r="D295" s="28" t="s">
        <v>2116</v>
      </c>
      <c r="E295" s="3" t="s">
        <v>3033</v>
      </c>
      <c r="F295" s="27">
        <v>1</v>
      </c>
      <c r="G295" s="28" t="s">
        <v>4335</v>
      </c>
      <c r="H295" s="29"/>
    </row>
    <row r="296" spans="1:8" s="22" customFormat="1" ht="15.9" customHeight="1">
      <c r="A296" s="27">
        <v>292</v>
      </c>
      <c r="B296" s="3" t="s">
        <v>1200</v>
      </c>
      <c r="C296" s="28" t="s">
        <v>371</v>
      </c>
      <c r="D296" s="28" t="s">
        <v>2117</v>
      </c>
      <c r="E296" s="3" t="s">
        <v>3034</v>
      </c>
      <c r="F296" s="27">
        <v>1</v>
      </c>
      <c r="G296" s="28" t="s">
        <v>371</v>
      </c>
      <c r="H296" s="29"/>
    </row>
    <row r="297" spans="1:8" s="22" customFormat="1" ht="15.9" customHeight="1">
      <c r="A297" s="27">
        <v>293</v>
      </c>
      <c r="B297" s="3" t="s">
        <v>1201</v>
      </c>
      <c r="C297" s="28" t="s">
        <v>371</v>
      </c>
      <c r="D297" s="28" t="s">
        <v>2118</v>
      </c>
      <c r="E297" s="3" t="s">
        <v>3035</v>
      </c>
      <c r="F297" s="27">
        <v>1</v>
      </c>
      <c r="G297" s="28" t="s">
        <v>371</v>
      </c>
      <c r="H297" s="29"/>
    </row>
    <row r="298" spans="1:8" s="22" customFormat="1" ht="15.9" customHeight="1">
      <c r="A298" s="27">
        <v>294</v>
      </c>
      <c r="B298" s="3" t="s">
        <v>1202</v>
      </c>
      <c r="C298" s="28" t="s">
        <v>3740</v>
      </c>
      <c r="D298" s="28" t="s">
        <v>2119</v>
      </c>
      <c r="E298" s="3" t="s">
        <v>3036</v>
      </c>
      <c r="F298" s="27">
        <v>1</v>
      </c>
      <c r="G298" s="28" t="s">
        <v>371</v>
      </c>
      <c r="H298" s="29"/>
    </row>
    <row r="299" spans="1:8" s="22" customFormat="1" ht="15.9" customHeight="1">
      <c r="A299" s="27">
        <v>295</v>
      </c>
      <c r="B299" s="3" t="s">
        <v>1203</v>
      </c>
      <c r="C299" s="28" t="s">
        <v>102</v>
      </c>
      <c r="D299" s="28" t="s">
        <v>2120</v>
      </c>
      <c r="E299" s="3" t="s">
        <v>3037</v>
      </c>
      <c r="F299" s="27">
        <v>1</v>
      </c>
      <c r="G299" s="28" t="s">
        <v>371</v>
      </c>
      <c r="H299" s="29"/>
    </row>
    <row r="300" spans="1:8" s="22" customFormat="1" ht="15.9" customHeight="1">
      <c r="A300" s="27">
        <v>296</v>
      </c>
      <c r="B300" s="3" t="s">
        <v>1204</v>
      </c>
      <c r="C300" s="28" t="s">
        <v>4541</v>
      </c>
      <c r="D300" s="28" t="s">
        <v>2121</v>
      </c>
      <c r="E300" s="3" t="s">
        <v>3038</v>
      </c>
      <c r="F300" s="27">
        <v>1</v>
      </c>
      <c r="G300" s="28" t="s">
        <v>371</v>
      </c>
      <c r="H300" s="29"/>
    </row>
    <row r="301" spans="1:8" s="22" customFormat="1" ht="15.9" customHeight="1">
      <c r="A301" s="27">
        <v>297</v>
      </c>
      <c r="B301" s="3" t="s">
        <v>1205</v>
      </c>
      <c r="C301" s="28" t="s">
        <v>118</v>
      </c>
      <c r="D301" s="28" t="s">
        <v>2122</v>
      </c>
      <c r="E301" s="3" t="s">
        <v>3039</v>
      </c>
      <c r="F301" s="27">
        <v>1</v>
      </c>
      <c r="G301" s="28" t="s">
        <v>371</v>
      </c>
      <c r="H301" s="29"/>
    </row>
    <row r="302" spans="1:8" s="22" customFormat="1" ht="15.9" customHeight="1">
      <c r="A302" s="27">
        <v>298</v>
      </c>
      <c r="B302" s="3" t="s">
        <v>1206</v>
      </c>
      <c r="C302" s="28" t="s">
        <v>3715</v>
      </c>
      <c r="D302" s="28" t="s">
        <v>2123</v>
      </c>
      <c r="E302" s="3" t="s">
        <v>3040</v>
      </c>
      <c r="F302" s="27">
        <v>1</v>
      </c>
      <c r="G302" s="28" t="s">
        <v>371</v>
      </c>
      <c r="H302" s="29"/>
    </row>
    <row r="303" spans="1:8" s="22" customFormat="1" ht="15.9" customHeight="1">
      <c r="A303" s="27">
        <v>299</v>
      </c>
      <c r="B303" s="3" t="s">
        <v>1207</v>
      </c>
      <c r="C303" s="28" t="s">
        <v>4542</v>
      </c>
      <c r="D303" s="28" t="s">
        <v>2124</v>
      </c>
      <c r="E303" s="3" t="s">
        <v>3041</v>
      </c>
      <c r="F303" s="27">
        <v>1</v>
      </c>
      <c r="G303" s="28" t="s">
        <v>371</v>
      </c>
      <c r="H303" s="29"/>
    </row>
    <row r="304" spans="1:8" s="22" customFormat="1" ht="15.9" customHeight="1">
      <c r="A304" s="27">
        <v>300</v>
      </c>
      <c r="B304" s="3" t="s">
        <v>1208</v>
      </c>
      <c r="C304" s="28" t="s">
        <v>3741</v>
      </c>
      <c r="D304" s="28" t="s">
        <v>2125</v>
      </c>
      <c r="E304" s="3" t="s">
        <v>3042</v>
      </c>
      <c r="F304" s="27">
        <v>1</v>
      </c>
      <c r="G304" s="28" t="s">
        <v>371</v>
      </c>
      <c r="H304" s="29"/>
    </row>
    <row r="305" spans="1:8" s="22" customFormat="1" ht="15.9" customHeight="1">
      <c r="A305" s="27">
        <v>301</v>
      </c>
      <c r="B305" s="3" t="s">
        <v>1209</v>
      </c>
      <c r="C305" s="28" t="s">
        <v>4543</v>
      </c>
      <c r="D305" s="28" t="s">
        <v>2126</v>
      </c>
      <c r="E305" s="3" t="s">
        <v>3043</v>
      </c>
      <c r="F305" s="27">
        <v>1</v>
      </c>
      <c r="G305" s="28" t="s">
        <v>371</v>
      </c>
      <c r="H305" s="29"/>
    </row>
    <row r="306" spans="1:8" s="22" customFormat="1" ht="15.9" customHeight="1">
      <c r="A306" s="27">
        <v>302</v>
      </c>
      <c r="B306" s="3" t="s">
        <v>1210</v>
      </c>
      <c r="C306" s="28" t="s">
        <v>371</v>
      </c>
      <c r="D306" s="28" t="s">
        <v>2127</v>
      </c>
      <c r="E306" s="3" t="s">
        <v>3044</v>
      </c>
      <c r="F306" s="27">
        <v>1</v>
      </c>
      <c r="G306" s="28" t="s">
        <v>371</v>
      </c>
      <c r="H306" s="29"/>
    </row>
    <row r="307" spans="1:8" s="22" customFormat="1" ht="15.9" customHeight="1">
      <c r="A307" s="27">
        <v>303</v>
      </c>
      <c r="B307" s="3" t="s">
        <v>1211</v>
      </c>
      <c r="C307" s="28" t="s">
        <v>371</v>
      </c>
      <c r="D307" s="28" t="s">
        <v>2128</v>
      </c>
      <c r="E307" s="3" t="s">
        <v>3045</v>
      </c>
      <c r="F307" s="27">
        <v>1</v>
      </c>
      <c r="G307" s="28" t="s">
        <v>371</v>
      </c>
      <c r="H307" s="29"/>
    </row>
    <row r="308" spans="1:8" s="22" customFormat="1" ht="15.9" customHeight="1">
      <c r="A308" s="27">
        <v>304</v>
      </c>
      <c r="B308" s="3" t="s">
        <v>1212</v>
      </c>
      <c r="C308" s="28" t="s">
        <v>4544</v>
      </c>
      <c r="D308" s="28" t="s">
        <v>2129</v>
      </c>
      <c r="E308" s="3" t="s">
        <v>3046</v>
      </c>
      <c r="F308" s="27">
        <v>1</v>
      </c>
      <c r="G308" s="28" t="s">
        <v>371</v>
      </c>
      <c r="H308" s="29"/>
    </row>
    <row r="309" spans="1:8" s="22" customFormat="1" ht="15.9" customHeight="1">
      <c r="A309" s="27">
        <v>305</v>
      </c>
      <c r="B309" s="3" t="s">
        <v>1213</v>
      </c>
      <c r="C309" s="28" t="s">
        <v>4545</v>
      </c>
      <c r="D309" s="28" t="s">
        <v>2130</v>
      </c>
      <c r="E309" s="3" t="s">
        <v>3047</v>
      </c>
      <c r="F309" s="27">
        <v>1</v>
      </c>
      <c r="G309" s="28" t="s">
        <v>371</v>
      </c>
      <c r="H309" s="29"/>
    </row>
    <row r="310" spans="1:8" s="22" customFormat="1" ht="15.9" customHeight="1">
      <c r="A310" s="27">
        <v>306</v>
      </c>
      <c r="B310" s="3" t="s">
        <v>1214</v>
      </c>
      <c r="C310" s="28" t="s">
        <v>3691</v>
      </c>
      <c r="D310" s="28" t="s">
        <v>2131</v>
      </c>
      <c r="E310" s="3" t="s">
        <v>3048</v>
      </c>
      <c r="F310" s="27">
        <v>1</v>
      </c>
      <c r="G310" s="28" t="s">
        <v>371</v>
      </c>
      <c r="H310" s="29"/>
    </row>
    <row r="311" spans="1:8" s="22" customFormat="1" ht="15.9" customHeight="1">
      <c r="A311" s="27">
        <v>307</v>
      </c>
      <c r="B311" s="3" t="s">
        <v>1215</v>
      </c>
      <c r="C311" s="28" t="s">
        <v>371</v>
      </c>
      <c r="D311" s="28" t="s">
        <v>2132</v>
      </c>
      <c r="E311" s="3" t="s">
        <v>3049</v>
      </c>
      <c r="F311" s="27">
        <v>1</v>
      </c>
      <c r="G311" s="28" t="s">
        <v>371</v>
      </c>
      <c r="H311" s="29"/>
    </row>
    <row r="312" spans="1:8" s="22" customFormat="1" ht="15.9" customHeight="1">
      <c r="A312" s="27">
        <v>308</v>
      </c>
      <c r="B312" s="3" t="s">
        <v>1216</v>
      </c>
      <c r="C312" s="28" t="s">
        <v>4506</v>
      </c>
      <c r="D312" s="28" t="s">
        <v>2133</v>
      </c>
      <c r="E312" s="3" t="s">
        <v>3050</v>
      </c>
      <c r="F312" s="27">
        <v>1</v>
      </c>
      <c r="G312" s="28" t="s">
        <v>371</v>
      </c>
      <c r="H312" s="29"/>
    </row>
    <row r="313" spans="1:8" s="22" customFormat="1" ht="15.9" customHeight="1">
      <c r="A313" s="27">
        <v>309</v>
      </c>
      <c r="B313" s="3" t="s">
        <v>1217</v>
      </c>
      <c r="C313" s="28" t="s">
        <v>4546</v>
      </c>
      <c r="D313" s="28" t="s">
        <v>2134</v>
      </c>
      <c r="E313" s="3" t="s">
        <v>3051</v>
      </c>
      <c r="F313" s="27">
        <v>1</v>
      </c>
      <c r="G313" s="28" t="s">
        <v>371</v>
      </c>
      <c r="H313" s="29"/>
    </row>
    <row r="314" spans="1:8" s="22" customFormat="1" ht="15.9" customHeight="1">
      <c r="A314" s="27">
        <v>310</v>
      </c>
      <c r="B314" s="3" t="s">
        <v>1218</v>
      </c>
      <c r="C314" s="28" t="s">
        <v>3742</v>
      </c>
      <c r="D314" s="28" t="s">
        <v>2135</v>
      </c>
      <c r="E314" s="3" t="s">
        <v>3052</v>
      </c>
      <c r="F314" s="27">
        <v>1</v>
      </c>
      <c r="G314" s="28" t="s">
        <v>371</v>
      </c>
      <c r="H314" s="29"/>
    </row>
    <row r="315" spans="1:8" s="22" customFormat="1" ht="15.9" customHeight="1">
      <c r="A315" s="27">
        <v>311</v>
      </c>
      <c r="B315" s="3" t="s">
        <v>1219</v>
      </c>
      <c r="C315" s="28" t="s">
        <v>95</v>
      </c>
      <c r="D315" s="28" t="s">
        <v>2136</v>
      </c>
      <c r="E315" s="3" t="s">
        <v>3053</v>
      </c>
      <c r="F315" s="27">
        <v>1</v>
      </c>
      <c r="G315" s="28" t="s">
        <v>371</v>
      </c>
      <c r="H315" s="29"/>
    </row>
    <row r="316" spans="1:8" s="22" customFormat="1" ht="15.9" customHeight="1">
      <c r="A316" s="27">
        <v>312</v>
      </c>
      <c r="B316" s="3" t="s">
        <v>1220</v>
      </c>
      <c r="C316" s="28" t="s">
        <v>371</v>
      </c>
      <c r="D316" s="28" t="s">
        <v>2137</v>
      </c>
      <c r="E316" s="3" t="s">
        <v>3054</v>
      </c>
      <c r="F316" s="27">
        <v>1</v>
      </c>
      <c r="G316" s="28" t="s">
        <v>371</v>
      </c>
      <c r="H316" s="29"/>
    </row>
    <row r="317" spans="1:8" s="22" customFormat="1" ht="15.9" customHeight="1">
      <c r="A317" s="27">
        <v>313</v>
      </c>
      <c r="B317" s="3" t="s">
        <v>1221</v>
      </c>
      <c r="C317" s="28" t="s">
        <v>371</v>
      </c>
      <c r="D317" s="28" t="s">
        <v>2138</v>
      </c>
      <c r="E317" s="3" t="s">
        <v>3055</v>
      </c>
      <c r="F317" s="27">
        <v>1</v>
      </c>
      <c r="G317" s="28" t="s">
        <v>371</v>
      </c>
      <c r="H317" s="29"/>
    </row>
    <row r="318" spans="1:8" s="22" customFormat="1" ht="15.9" customHeight="1">
      <c r="A318" s="27">
        <v>314</v>
      </c>
      <c r="B318" s="3" t="s">
        <v>1222</v>
      </c>
      <c r="C318" s="28" t="s">
        <v>102</v>
      </c>
      <c r="D318" s="28" t="s">
        <v>2139</v>
      </c>
      <c r="E318" s="3" t="s">
        <v>3056</v>
      </c>
      <c r="F318" s="27">
        <v>1</v>
      </c>
      <c r="G318" s="28" t="s">
        <v>371</v>
      </c>
      <c r="H318" s="29"/>
    </row>
    <row r="319" spans="1:8" s="22" customFormat="1" ht="15.9" customHeight="1">
      <c r="A319" s="27">
        <v>315</v>
      </c>
      <c r="B319" s="3" t="s">
        <v>1223</v>
      </c>
      <c r="C319" s="28" t="s">
        <v>4547</v>
      </c>
      <c r="D319" s="28" t="s">
        <v>2140</v>
      </c>
      <c r="E319" s="3" t="s">
        <v>3057</v>
      </c>
      <c r="F319" s="27">
        <v>1</v>
      </c>
      <c r="G319" s="28" t="s">
        <v>371</v>
      </c>
      <c r="H319" s="29"/>
    </row>
    <row r="320" spans="1:8" s="22" customFormat="1" ht="15.9" customHeight="1">
      <c r="A320" s="27">
        <v>316</v>
      </c>
      <c r="B320" s="3" t="s">
        <v>1224</v>
      </c>
      <c r="C320" s="28" t="s">
        <v>3743</v>
      </c>
      <c r="D320" s="28" t="s">
        <v>2141</v>
      </c>
      <c r="E320" s="3" t="s">
        <v>3058</v>
      </c>
      <c r="F320" s="27">
        <v>1</v>
      </c>
      <c r="G320" s="28" t="s">
        <v>371</v>
      </c>
      <c r="H320" s="29"/>
    </row>
    <row r="321" spans="1:8" s="22" customFormat="1" ht="15.9" customHeight="1">
      <c r="A321" s="27">
        <v>317</v>
      </c>
      <c r="B321" s="3" t="s">
        <v>1225</v>
      </c>
      <c r="C321" s="28" t="s">
        <v>3744</v>
      </c>
      <c r="D321" s="28" t="s">
        <v>2142</v>
      </c>
      <c r="E321" s="3" t="s">
        <v>3059</v>
      </c>
      <c r="F321" s="27">
        <v>1</v>
      </c>
      <c r="G321" s="28" t="s">
        <v>371</v>
      </c>
      <c r="H321" s="29"/>
    </row>
    <row r="322" spans="1:8" s="22" customFormat="1" ht="15.9" customHeight="1">
      <c r="A322" s="27">
        <v>318</v>
      </c>
      <c r="B322" s="3" t="s">
        <v>1226</v>
      </c>
      <c r="C322" s="28" t="s">
        <v>3695</v>
      </c>
      <c r="D322" s="28" t="s">
        <v>2143</v>
      </c>
      <c r="E322" s="3" t="s">
        <v>3060</v>
      </c>
      <c r="F322" s="27">
        <v>1</v>
      </c>
      <c r="G322" s="28" t="s">
        <v>371</v>
      </c>
      <c r="H322" s="29"/>
    </row>
    <row r="323" spans="1:8" s="22" customFormat="1" ht="15.9" customHeight="1">
      <c r="A323" s="27">
        <v>319</v>
      </c>
      <c r="B323" s="3" t="s">
        <v>1227</v>
      </c>
      <c r="C323" s="28" t="s">
        <v>4929</v>
      </c>
      <c r="D323" s="28" t="s">
        <v>2144</v>
      </c>
      <c r="E323" s="3" t="s">
        <v>3061</v>
      </c>
      <c r="F323" s="27">
        <v>1</v>
      </c>
      <c r="G323" s="28" t="s">
        <v>371</v>
      </c>
      <c r="H323" s="29"/>
    </row>
    <row r="324" spans="1:8" s="22" customFormat="1" ht="15.9" customHeight="1">
      <c r="A324" s="27">
        <v>320</v>
      </c>
      <c r="B324" s="3" t="s">
        <v>1228</v>
      </c>
      <c r="C324" s="28" t="s">
        <v>371</v>
      </c>
      <c r="D324" s="28" t="s">
        <v>2145</v>
      </c>
      <c r="E324" s="3" t="s">
        <v>3062</v>
      </c>
      <c r="F324" s="27">
        <v>1</v>
      </c>
      <c r="G324" s="28" t="s">
        <v>371</v>
      </c>
      <c r="H324" s="29"/>
    </row>
    <row r="325" spans="1:8" s="22" customFormat="1" ht="15.9" customHeight="1">
      <c r="A325" s="27">
        <v>321</v>
      </c>
      <c r="B325" s="3" t="s">
        <v>1229</v>
      </c>
      <c r="C325" s="28" t="s">
        <v>4548</v>
      </c>
      <c r="D325" s="28" t="s">
        <v>2146</v>
      </c>
      <c r="E325" s="3" t="s">
        <v>3063</v>
      </c>
      <c r="F325" s="27">
        <v>1</v>
      </c>
      <c r="G325" s="28" t="s">
        <v>371</v>
      </c>
      <c r="H325" s="29"/>
    </row>
    <row r="326" spans="1:8" s="22" customFormat="1" ht="15.9" customHeight="1">
      <c r="A326" s="27">
        <v>322</v>
      </c>
      <c r="B326" s="3" t="s">
        <v>1230</v>
      </c>
      <c r="C326" s="28" t="s">
        <v>371</v>
      </c>
      <c r="D326" s="28" t="s">
        <v>2147</v>
      </c>
      <c r="E326" s="3" t="s">
        <v>3064</v>
      </c>
      <c r="F326" s="27">
        <v>1</v>
      </c>
      <c r="G326" s="28" t="s">
        <v>371</v>
      </c>
      <c r="H326" s="29"/>
    </row>
    <row r="327" spans="1:8" s="22" customFormat="1" ht="15.9" customHeight="1">
      <c r="A327" s="27">
        <v>323</v>
      </c>
      <c r="B327" s="3" t="s">
        <v>1231</v>
      </c>
      <c r="C327" s="28" t="s">
        <v>3745</v>
      </c>
      <c r="D327" s="28" t="s">
        <v>2148</v>
      </c>
      <c r="E327" s="3" t="s">
        <v>3065</v>
      </c>
      <c r="F327" s="27">
        <v>1</v>
      </c>
      <c r="G327" s="28" t="s">
        <v>371</v>
      </c>
      <c r="H327" s="29"/>
    </row>
    <row r="328" spans="1:8" s="22" customFormat="1" ht="15.9" customHeight="1">
      <c r="A328" s="27">
        <v>324</v>
      </c>
      <c r="B328" s="3" t="s">
        <v>1232</v>
      </c>
      <c r="C328" s="28" t="s">
        <v>371</v>
      </c>
      <c r="D328" s="28" t="s">
        <v>2149</v>
      </c>
      <c r="E328" s="3" t="s">
        <v>3066</v>
      </c>
      <c r="F328" s="27">
        <v>1</v>
      </c>
      <c r="G328" s="28" t="s">
        <v>371</v>
      </c>
      <c r="H328" s="29"/>
    </row>
    <row r="329" spans="1:8" s="22" customFormat="1" ht="15.9" customHeight="1">
      <c r="A329" s="27">
        <v>325</v>
      </c>
      <c r="B329" s="3" t="s">
        <v>1233</v>
      </c>
      <c r="C329" s="28" t="s">
        <v>371</v>
      </c>
      <c r="D329" s="28" t="s">
        <v>2150</v>
      </c>
      <c r="E329" s="3" t="s">
        <v>3067</v>
      </c>
      <c r="F329" s="27">
        <v>1</v>
      </c>
      <c r="G329" s="28" t="s">
        <v>371</v>
      </c>
      <c r="H329" s="29"/>
    </row>
    <row r="330" spans="1:8" s="22" customFormat="1" ht="15.9" customHeight="1">
      <c r="A330" s="27">
        <v>326</v>
      </c>
      <c r="B330" s="3" t="s">
        <v>1234</v>
      </c>
      <c r="C330" s="28" t="s">
        <v>4549</v>
      </c>
      <c r="D330" s="28" t="s">
        <v>2151</v>
      </c>
      <c r="E330" s="3" t="s">
        <v>3068</v>
      </c>
      <c r="F330" s="27">
        <v>1</v>
      </c>
      <c r="G330" s="28" t="s">
        <v>371</v>
      </c>
      <c r="H330" s="29"/>
    </row>
    <row r="331" spans="1:8" s="22" customFormat="1" ht="15.9" customHeight="1">
      <c r="A331" s="27">
        <v>327</v>
      </c>
      <c r="B331" s="3" t="s">
        <v>1235</v>
      </c>
      <c r="C331" s="28" t="s">
        <v>3746</v>
      </c>
      <c r="D331" s="28" t="s">
        <v>2152</v>
      </c>
      <c r="E331" s="3" t="s">
        <v>3069</v>
      </c>
      <c r="F331" s="27">
        <v>1</v>
      </c>
      <c r="G331" s="28" t="s">
        <v>371</v>
      </c>
      <c r="H331" s="29"/>
    </row>
    <row r="332" spans="1:8" s="22" customFormat="1" ht="15.9" customHeight="1">
      <c r="A332" s="27">
        <v>328</v>
      </c>
      <c r="B332" s="3" t="s">
        <v>1236</v>
      </c>
      <c r="C332" s="28" t="s">
        <v>371</v>
      </c>
      <c r="D332" s="28" t="s">
        <v>2153</v>
      </c>
      <c r="E332" s="3" t="s">
        <v>3070</v>
      </c>
      <c r="F332" s="27">
        <v>1</v>
      </c>
      <c r="G332" s="28" t="s">
        <v>371</v>
      </c>
      <c r="H332" s="29"/>
    </row>
    <row r="333" spans="1:8" s="22" customFormat="1" ht="15.9" customHeight="1">
      <c r="A333" s="27">
        <v>329</v>
      </c>
      <c r="B333" s="3" t="s">
        <v>1237</v>
      </c>
      <c r="C333" s="28" t="s">
        <v>371</v>
      </c>
      <c r="D333" s="28" t="s">
        <v>2154</v>
      </c>
      <c r="E333" s="3" t="s">
        <v>3071</v>
      </c>
      <c r="F333" s="27">
        <v>1</v>
      </c>
      <c r="G333" s="28" t="s">
        <v>371</v>
      </c>
      <c r="H333" s="29"/>
    </row>
    <row r="334" spans="1:8" s="22" customFormat="1" ht="15.9" customHeight="1">
      <c r="A334" s="27">
        <v>330</v>
      </c>
      <c r="B334" s="3" t="s">
        <v>1238</v>
      </c>
      <c r="C334" s="28" t="s">
        <v>1989</v>
      </c>
      <c r="D334" s="28" t="s">
        <v>2155</v>
      </c>
      <c r="E334" s="3" t="s">
        <v>3072</v>
      </c>
      <c r="F334" s="27">
        <v>1</v>
      </c>
      <c r="G334" s="28" t="s">
        <v>371</v>
      </c>
      <c r="H334" s="29"/>
    </row>
    <row r="335" spans="1:8" s="22" customFormat="1" ht="15.9" customHeight="1">
      <c r="A335" s="27">
        <v>331</v>
      </c>
      <c r="B335" s="3" t="s">
        <v>4550</v>
      </c>
      <c r="C335" s="28" t="s">
        <v>4551</v>
      </c>
      <c r="D335" s="28" t="s">
        <v>4552</v>
      </c>
      <c r="E335" s="3" t="s">
        <v>4553</v>
      </c>
      <c r="F335" s="27">
        <v>1</v>
      </c>
      <c r="G335" s="28" t="s">
        <v>371</v>
      </c>
      <c r="H335" s="29"/>
    </row>
    <row r="336" spans="1:8" s="22" customFormat="1" ht="15.9" customHeight="1">
      <c r="A336" s="27">
        <v>332</v>
      </c>
      <c r="B336" s="3" t="s">
        <v>1239</v>
      </c>
      <c r="C336" s="28" t="s">
        <v>3747</v>
      </c>
      <c r="D336" s="28" t="s">
        <v>2156</v>
      </c>
      <c r="E336" s="3" t="s">
        <v>3073</v>
      </c>
      <c r="F336" s="27">
        <v>1</v>
      </c>
      <c r="G336" s="28" t="s">
        <v>371</v>
      </c>
      <c r="H336" s="29"/>
    </row>
    <row r="337" spans="1:8" s="22" customFormat="1" ht="15.9" customHeight="1">
      <c r="A337" s="27">
        <v>333</v>
      </c>
      <c r="B337" s="3" t="s">
        <v>1240</v>
      </c>
      <c r="C337" s="28" t="s">
        <v>371</v>
      </c>
      <c r="D337" s="28" t="s">
        <v>2157</v>
      </c>
      <c r="E337" s="3" t="s">
        <v>3074</v>
      </c>
      <c r="F337" s="27">
        <v>1</v>
      </c>
      <c r="G337" s="28" t="s">
        <v>371</v>
      </c>
      <c r="H337" s="29"/>
    </row>
    <row r="338" spans="1:8" s="22" customFormat="1" ht="15.9" customHeight="1">
      <c r="A338" s="27">
        <v>334</v>
      </c>
      <c r="B338" s="3" t="s">
        <v>1241</v>
      </c>
      <c r="C338" s="28" t="s">
        <v>3748</v>
      </c>
      <c r="D338" s="28" t="s">
        <v>2158</v>
      </c>
      <c r="E338" s="3" t="s">
        <v>3075</v>
      </c>
      <c r="F338" s="27">
        <v>1</v>
      </c>
      <c r="G338" s="28" t="s">
        <v>371</v>
      </c>
      <c r="H338" s="29"/>
    </row>
    <row r="339" spans="1:8" s="22" customFormat="1" ht="15.9" customHeight="1">
      <c r="A339" s="27">
        <v>335</v>
      </c>
      <c r="B339" s="3" t="s">
        <v>1242</v>
      </c>
      <c r="C339" s="28" t="s">
        <v>371</v>
      </c>
      <c r="D339" s="28" t="s">
        <v>2159</v>
      </c>
      <c r="E339" s="3" t="s">
        <v>3076</v>
      </c>
      <c r="F339" s="27">
        <v>1</v>
      </c>
      <c r="G339" s="28" t="s">
        <v>371</v>
      </c>
      <c r="H339" s="29"/>
    </row>
    <row r="340" spans="1:8" s="22" customFormat="1" ht="15.9" customHeight="1">
      <c r="A340" s="27">
        <v>336</v>
      </c>
      <c r="B340" s="3" t="s">
        <v>1243</v>
      </c>
      <c r="C340" s="28" t="s">
        <v>4554</v>
      </c>
      <c r="D340" s="28" t="s">
        <v>2160</v>
      </c>
      <c r="E340" s="3" t="s">
        <v>3077</v>
      </c>
      <c r="F340" s="27">
        <v>1</v>
      </c>
      <c r="G340" s="28" t="s">
        <v>371</v>
      </c>
      <c r="H340" s="29"/>
    </row>
    <row r="341" spans="1:8" s="22" customFormat="1" ht="15.9" customHeight="1">
      <c r="A341" s="27">
        <v>337</v>
      </c>
      <c r="B341" s="3" t="s">
        <v>1244</v>
      </c>
      <c r="C341" s="28" t="s">
        <v>371</v>
      </c>
      <c r="D341" s="28" t="s">
        <v>2161</v>
      </c>
      <c r="E341" s="3" t="s">
        <v>3078</v>
      </c>
      <c r="F341" s="27">
        <v>1</v>
      </c>
      <c r="G341" s="28" t="s">
        <v>371</v>
      </c>
      <c r="H341" s="29"/>
    </row>
    <row r="342" spans="1:8" s="22" customFormat="1" ht="15.9" customHeight="1">
      <c r="A342" s="27">
        <v>338</v>
      </c>
      <c r="B342" s="3" t="s">
        <v>1245</v>
      </c>
      <c r="C342" s="28" t="s">
        <v>371</v>
      </c>
      <c r="D342" s="28" t="s">
        <v>2162</v>
      </c>
      <c r="E342" s="3" t="s">
        <v>3079</v>
      </c>
      <c r="F342" s="27">
        <v>1</v>
      </c>
      <c r="G342" s="28" t="s">
        <v>371</v>
      </c>
      <c r="H342" s="29"/>
    </row>
    <row r="343" spans="1:8" s="22" customFormat="1" ht="15.9" customHeight="1">
      <c r="A343" s="27">
        <v>339</v>
      </c>
      <c r="B343" s="3" t="s">
        <v>1246</v>
      </c>
      <c r="C343" s="28" t="s">
        <v>3677</v>
      </c>
      <c r="D343" s="28" t="s">
        <v>2163</v>
      </c>
      <c r="E343" s="3" t="s">
        <v>3080</v>
      </c>
      <c r="F343" s="27">
        <v>1</v>
      </c>
      <c r="G343" s="28" t="s">
        <v>371</v>
      </c>
      <c r="H343" s="29"/>
    </row>
    <row r="344" spans="1:8" s="22" customFormat="1" ht="15.9" customHeight="1">
      <c r="A344" s="27">
        <v>340</v>
      </c>
      <c r="B344" s="3" t="s">
        <v>1247</v>
      </c>
      <c r="C344" s="28" t="s">
        <v>371</v>
      </c>
      <c r="D344" s="28" t="s">
        <v>2164</v>
      </c>
      <c r="E344" s="3" t="s">
        <v>3081</v>
      </c>
      <c r="F344" s="27">
        <v>1</v>
      </c>
      <c r="G344" s="28" t="s">
        <v>371</v>
      </c>
      <c r="H344" s="29"/>
    </row>
    <row r="345" spans="1:8" s="22" customFormat="1" ht="15.9" customHeight="1">
      <c r="A345" s="27">
        <v>341</v>
      </c>
      <c r="B345" s="3" t="s">
        <v>1248</v>
      </c>
      <c r="C345" s="28" t="s">
        <v>3749</v>
      </c>
      <c r="D345" s="28" t="s">
        <v>2165</v>
      </c>
      <c r="E345" s="3" t="s">
        <v>3082</v>
      </c>
      <c r="F345" s="27">
        <v>1</v>
      </c>
      <c r="G345" s="28" t="s">
        <v>371</v>
      </c>
      <c r="H345" s="29"/>
    </row>
    <row r="346" spans="1:8" s="22" customFormat="1" ht="15.9" customHeight="1">
      <c r="A346" s="27">
        <v>342</v>
      </c>
      <c r="B346" s="3" t="s">
        <v>1249</v>
      </c>
      <c r="C346" s="28" t="s">
        <v>371</v>
      </c>
      <c r="D346" s="28" t="s">
        <v>2166</v>
      </c>
      <c r="E346" s="3" t="s">
        <v>3083</v>
      </c>
      <c r="F346" s="27">
        <v>1</v>
      </c>
      <c r="G346" s="28" t="s">
        <v>371</v>
      </c>
      <c r="H346" s="29"/>
    </row>
    <row r="347" spans="1:8" s="22" customFormat="1" ht="15.9" customHeight="1">
      <c r="A347" s="27">
        <v>343</v>
      </c>
      <c r="B347" s="3" t="s">
        <v>1250</v>
      </c>
      <c r="C347" s="28" t="s">
        <v>4935</v>
      </c>
      <c r="D347" s="28" t="s">
        <v>2167</v>
      </c>
      <c r="E347" s="3" t="s">
        <v>3084</v>
      </c>
      <c r="F347" s="27">
        <v>1</v>
      </c>
      <c r="G347" s="28" t="s">
        <v>371</v>
      </c>
      <c r="H347" s="29"/>
    </row>
    <row r="348" spans="1:8" s="22" customFormat="1" ht="15.9" customHeight="1">
      <c r="A348" s="27">
        <v>344</v>
      </c>
      <c r="B348" s="3" t="s">
        <v>1251</v>
      </c>
      <c r="C348" s="28" t="s">
        <v>371</v>
      </c>
      <c r="D348" s="28" t="s">
        <v>2168</v>
      </c>
      <c r="E348" s="3" t="s">
        <v>3085</v>
      </c>
      <c r="F348" s="27">
        <v>1</v>
      </c>
      <c r="G348" s="28" t="s">
        <v>371</v>
      </c>
      <c r="H348" s="29"/>
    </row>
    <row r="349" spans="1:8" s="22" customFormat="1" ht="15.9" customHeight="1">
      <c r="A349" s="27">
        <v>345</v>
      </c>
      <c r="B349" s="3" t="s">
        <v>1252</v>
      </c>
      <c r="C349" s="28" t="s">
        <v>4952</v>
      </c>
      <c r="D349" s="28" t="s">
        <v>2169</v>
      </c>
      <c r="E349" s="3" t="s">
        <v>3086</v>
      </c>
      <c r="F349" s="27">
        <v>1</v>
      </c>
      <c r="G349" s="28" t="s">
        <v>371</v>
      </c>
      <c r="H349" s="29"/>
    </row>
    <row r="350" spans="1:8" s="22" customFormat="1" ht="15.9" customHeight="1">
      <c r="A350" s="27">
        <v>346</v>
      </c>
      <c r="B350" s="3" t="s">
        <v>1253</v>
      </c>
      <c r="C350" s="28" t="s">
        <v>4555</v>
      </c>
      <c r="D350" s="28" t="s">
        <v>2170</v>
      </c>
      <c r="E350" s="3" t="s">
        <v>3087</v>
      </c>
      <c r="F350" s="27">
        <v>1</v>
      </c>
      <c r="G350" s="28" t="s">
        <v>371</v>
      </c>
      <c r="H350" s="29"/>
    </row>
    <row r="351" spans="1:8" s="22" customFormat="1" ht="15.9" customHeight="1">
      <c r="A351" s="27">
        <v>347</v>
      </c>
      <c r="B351" s="3" t="s">
        <v>1254</v>
      </c>
      <c r="C351" s="28" t="s">
        <v>4556</v>
      </c>
      <c r="D351" s="28" t="s">
        <v>2171</v>
      </c>
      <c r="E351" s="3" t="s">
        <v>3088</v>
      </c>
      <c r="F351" s="27">
        <v>1</v>
      </c>
      <c r="G351" s="28" t="s">
        <v>4335</v>
      </c>
      <c r="H351" s="29"/>
    </row>
    <row r="352" spans="1:8" s="22" customFormat="1" ht="15.9" customHeight="1">
      <c r="A352" s="27">
        <v>348</v>
      </c>
      <c r="B352" s="3" t="s">
        <v>1255</v>
      </c>
      <c r="C352" s="28" t="s">
        <v>4506</v>
      </c>
      <c r="D352" s="28" t="s">
        <v>2172</v>
      </c>
      <c r="E352" s="3" t="s">
        <v>3089</v>
      </c>
      <c r="F352" s="27">
        <v>1</v>
      </c>
      <c r="G352" s="28" t="s">
        <v>371</v>
      </c>
      <c r="H352" s="29"/>
    </row>
    <row r="353" spans="1:8" s="22" customFormat="1" ht="15.9" customHeight="1">
      <c r="A353" s="27">
        <v>349</v>
      </c>
      <c r="B353" s="3" t="s">
        <v>1256</v>
      </c>
      <c r="C353" s="28" t="s">
        <v>3677</v>
      </c>
      <c r="D353" s="28" t="s">
        <v>2173</v>
      </c>
      <c r="E353" s="3" t="s">
        <v>3090</v>
      </c>
      <c r="F353" s="27">
        <v>1</v>
      </c>
      <c r="G353" s="28" t="s">
        <v>371</v>
      </c>
      <c r="H353" s="29"/>
    </row>
    <row r="354" spans="1:8" s="22" customFormat="1" ht="15.9" customHeight="1">
      <c r="A354" s="27">
        <v>350</v>
      </c>
      <c r="B354" s="3" t="s">
        <v>1257</v>
      </c>
      <c r="C354" s="28" t="s">
        <v>3750</v>
      </c>
      <c r="D354" s="28" t="s">
        <v>2174</v>
      </c>
      <c r="E354" s="3" t="s">
        <v>3091</v>
      </c>
      <c r="F354" s="27">
        <v>1</v>
      </c>
      <c r="G354" s="28" t="s">
        <v>371</v>
      </c>
      <c r="H354" s="29"/>
    </row>
    <row r="355" spans="1:8" s="22" customFormat="1" ht="15.9" customHeight="1">
      <c r="A355" s="27">
        <v>351</v>
      </c>
      <c r="B355" s="3" t="s">
        <v>1258</v>
      </c>
      <c r="C355" s="28" t="s">
        <v>371</v>
      </c>
      <c r="D355" s="28" t="s">
        <v>2175</v>
      </c>
      <c r="E355" s="3" t="s">
        <v>3092</v>
      </c>
      <c r="F355" s="27">
        <v>1</v>
      </c>
      <c r="G355" s="28" t="s">
        <v>371</v>
      </c>
      <c r="H355" s="29"/>
    </row>
    <row r="356" spans="1:8" s="22" customFormat="1" ht="15.9" customHeight="1">
      <c r="A356" s="27">
        <v>352</v>
      </c>
      <c r="B356" s="3" t="s">
        <v>1259</v>
      </c>
      <c r="C356" s="28" t="s">
        <v>4557</v>
      </c>
      <c r="D356" s="28" t="s">
        <v>2176</v>
      </c>
      <c r="E356" s="3" t="s">
        <v>3093</v>
      </c>
      <c r="F356" s="27">
        <v>1</v>
      </c>
      <c r="G356" s="28" t="s">
        <v>371</v>
      </c>
      <c r="H356" s="29"/>
    </row>
    <row r="357" spans="1:8" s="22" customFormat="1" ht="15.9" customHeight="1">
      <c r="A357" s="27">
        <v>353</v>
      </c>
      <c r="B357" s="3" t="s">
        <v>1260</v>
      </c>
      <c r="C357" s="28" t="s">
        <v>371</v>
      </c>
      <c r="D357" s="28" t="s">
        <v>2177</v>
      </c>
      <c r="E357" s="3" t="s">
        <v>3094</v>
      </c>
      <c r="F357" s="27">
        <v>1</v>
      </c>
      <c r="G357" s="28" t="s">
        <v>371</v>
      </c>
      <c r="H357" s="29"/>
    </row>
    <row r="358" spans="1:8" s="22" customFormat="1" ht="15.9" customHeight="1">
      <c r="A358" s="27">
        <v>354</v>
      </c>
      <c r="B358" s="3" t="s">
        <v>1261</v>
      </c>
      <c r="C358" s="28" t="s">
        <v>371</v>
      </c>
      <c r="D358" s="28" t="s">
        <v>2178</v>
      </c>
      <c r="E358" s="3" t="s">
        <v>3095</v>
      </c>
      <c r="F358" s="27">
        <v>1</v>
      </c>
      <c r="G358" s="28" t="s">
        <v>371</v>
      </c>
      <c r="H358" s="29"/>
    </row>
    <row r="359" spans="1:8" s="22" customFormat="1" ht="15.9" customHeight="1">
      <c r="A359" s="27">
        <v>355</v>
      </c>
      <c r="B359" s="3" t="s">
        <v>1262</v>
      </c>
      <c r="C359" s="28" t="s">
        <v>1976</v>
      </c>
      <c r="D359" s="28" t="s">
        <v>2179</v>
      </c>
      <c r="E359" s="3" t="s">
        <v>3096</v>
      </c>
      <c r="F359" s="27">
        <v>1</v>
      </c>
      <c r="G359" s="28" t="s">
        <v>371</v>
      </c>
      <c r="H359" s="29"/>
    </row>
    <row r="360" spans="1:8" s="22" customFormat="1" ht="15.9" customHeight="1">
      <c r="A360" s="27">
        <v>356</v>
      </c>
      <c r="B360" s="3" t="s">
        <v>1263</v>
      </c>
      <c r="C360" s="28" t="s">
        <v>3751</v>
      </c>
      <c r="D360" s="28" t="s">
        <v>2180</v>
      </c>
      <c r="E360" s="3" t="s">
        <v>3097</v>
      </c>
      <c r="F360" s="27">
        <v>1</v>
      </c>
      <c r="G360" s="28" t="s">
        <v>371</v>
      </c>
      <c r="H360" s="29"/>
    </row>
    <row r="361" spans="1:8" s="22" customFormat="1" ht="15.9" customHeight="1">
      <c r="A361" s="27">
        <v>357</v>
      </c>
      <c r="B361" s="3" t="s">
        <v>1264</v>
      </c>
      <c r="C361" s="28" t="s">
        <v>392</v>
      </c>
      <c r="D361" s="28" t="s">
        <v>2181</v>
      </c>
      <c r="E361" s="3" t="s">
        <v>3098</v>
      </c>
      <c r="F361" s="27">
        <v>1</v>
      </c>
      <c r="G361" s="28" t="s">
        <v>371</v>
      </c>
      <c r="H361" s="29"/>
    </row>
    <row r="362" spans="1:8" s="22" customFormat="1" ht="15.9" customHeight="1">
      <c r="A362" s="27">
        <v>358</v>
      </c>
      <c r="B362" s="3" t="s">
        <v>1265</v>
      </c>
      <c r="C362" s="28" t="s">
        <v>371</v>
      </c>
      <c r="D362" s="28" t="s">
        <v>2182</v>
      </c>
      <c r="E362" s="3" t="s">
        <v>3099</v>
      </c>
      <c r="F362" s="27">
        <v>1</v>
      </c>
      <c r="G362" s="28" t="s">
        <v>371</v>
      </c>
      <c r="H362" s="29"/>
    </row>
    <row r="363" spans="1:8" s="22" customFormat="1" ht="15.9" customHeight="1">
      <c r="A363" s="27">
        <v>359</v>
      </c>
      <c r="B363" s="3" t="s">
        <v>1266</v>
      </c>
      <c r="C363" s="28" t="s">
        <v>4506</v>
      </c>
      <c r="D363" s="28" t="s">
        <v>2183</v>
      </c>
      <c r="E363" s="3" t="s">
        <v>3100</v>
      </c>
      <c r="F363" s="27">
        <v>1</v>
      </c>
      <c r="G363" s="28" t="s">
        <v>371</v>
      </c>
      <c r="H363" s="29"/>
    </row>
    <row r="364" spans="1:8" s="22" customFormat="1" ht="15.9" customHeight="1">
      <c r="A364" s="27">
        <v>360</v>
      </c>
      <c r="B364" s="3" t="s">
        <v>1267</v>
      </c>
      <c r="C364" s="28" t="s">
        <v>4955</v>
      </c>
      <c r="D364" s="28" t="s">
        <v>2184</v>
      </c>
      <c r="E364" s="3" t="s">
        <v>3101</v>
      </c>
      <c r="F364" s="27">
        <v>1</v>
      </c>
      <c r="G364" s="28" t="s">
        <v>371</v>
      </c>
      <c r="H364" s="29"/>
    </row>
    <row r="365" spans="1:8" s="22" customFormat="1" ht="15.9" customHeight="1">
      <c r="A365" s="27">
        <v>361</v>
      </c>
      <c r="B365" s="3" t="s">
        <v>1268</v>
      </c>
      <c r="C365" s="28" t="s">
        <v>371</v>
      </c>
      <c r="D365" s="28" t="s">
        <v>2185</v>
      </c>
      <c r="E365" s="3" t="s">
        <v>3102</v>
      </c>
      <c r="F365" s="27">
        <v>1</v>
      </c>
      <c r="G365" s="28" t="s">
        <v>371</v>
      </c>
      <c r="H365" s="29"/>
    </row>
    <row r="366" spans="1:8" s="22" customFormat="1" ht="15.9" customHeight="1">
      <c r="A366" s="27">
        <v>362</v>
      </c>
      <c r="B366" s="3" t="s">
        <v>1269</v>
      </c>
      <c r="C366" s="28" t="s">
        <v>371</v>
      </c>
      <c r="D366" s="28" t="s">
        <v>2186</v>
      </c>
      <c r="E366" s="3" t="s">
        <v>3103</v>
      </c>
      <c r="F366" s="27">
        <v>1</v>
      </c>
      <c r="G366" s="28" t="s">
        <v>371</v>
      </c>
      <c r="H366" s="29"/>
    </row>
    <row r="367" spans="1:8" s="22" customFormat="1" ht="15.9" customHeight="1">
      <c r="A367" s="27">
        <v>363</v>
      </c>
      <c r="B367" s="3" t="s">
        <v>1270</v>
      </c>
      <c r="C367" s="28" t="s">
        <v>3752</v>
      </c>
      <c r="D367" s="28" t="s">
        <v>2187</v>
      </c>
      <c r="E367" s="3" t="s">
        <v>3104</v>
      </c>
      <c r="F367" s="27">
        <v>1</v>
      </c>
      <c r="G367" s="28" t="s">
        <v>371</v>
      </c>
      <c r="H367" s="29"/>
    </row>
    <row r="368" spans="1:8" s="22" customFormat="1" ht="15.9" customHeight="1">
      <c r="A368" s="27">
        <v>364</v>
      </c>
      <c r="B368" s="3" t="s">
        <v>1271</v>
      </c>
      <c r="C368" s="28" t="s">
        <v>3691</v>
      </c>
      <c r="D368" s="28" t="s">
        <v>2188</v>
      </c>
      <c r="E368" s="3" t="s">
        <v>3105</v>
      </c>
      <c r="F368" s="27">
        <v>1</v>
      </c>
      <c r="G368" s="28" t="s">
        <v>371</v>
      </c>
      <c r="H368" s="29"/>
    </row>
    <row r="369" spans="1:8" s="22" customFormat="1" ht="15.9" customHeight="1">
      <c r="A369" s="27">
        <v>365</v>
      </c>
      <c r="B369" s="3" t="s">
        <v>1272</v>
      </c>
      <c r="C369" s="28" t="s">
        <v>371</v>
      </c>
      <c r="D369" s="28" t="s">
        <v>2189</v>
      </c>
      <c r="E369" s="3" t="s">
        <v>3106</v>
      </c>
      <c r="F369" s="27">
        <v>1</v>
      </c>
      <c r="G369" s="28" t="s">
        <v>371</v>
      </c>
      <c r="H369" s="29"/>
    </row>
    <row r="370" spans="1:8" s="22" customFormat="1" ht="15.9" customHeight="1">
      <c r="A370" s="27">
        <v>366</v>
      </c>
      <c r="B370" s="3" t="s">
        <v>1273</v>
      </c>
      <c r="C370" s="28" t="s">
        <v>4948</v>
      </c>
      <c r="D370" s="28" t="s">
        <v>2190</v>
      </c>
      <c r="E370" s="3" t="s">
        <v>3107</v>
      </c>
      <c r="F370" s="27">
        <v>1</v>
      </c>
      <c r="G370" s="28" t="s">
        <v>371</v>
      </c>
      <c r="H370" s="29"/>
    </row>
    <row r="371" spans="1:8" s="22" customFormat="1" ht="15.9" customHeight="1">
      <c r="A371" s="27">
        <v>367</v>
      </c>
      <c r="B371" s="3" t="s">
        <v>1274</v>
      </c>
      <c r="C371" s="28" t="s">
        <v>3753</v>
      </c>
      <c r="D371" s="28" t="s">
        <v>2191</v>
      </c>
      <c r="E371" s="3" t="s">
        <v>3108</v>
      </c>
      <c r="F371" s="27">
        <v>1</v>
      </c>
      <c r="G371" s="28" t="s">
        <v>371</v>
      </c>
      <c r="H371" s="29"/>
    </row>
    <row r="372" spans="1:8" s="22" customFormat="1" ht="15.9" customHeight="1">
      <c r="A372" s="27">
        <v>368</v>
      </c>
      <c r="B372" s="3" t="s">
        <v>1275</v>
      </c>
      <c r="C372" s="28" t="s">
        <v>3754</v>
      </c>
      <c r="D372" s="28" t="s">
        <v>2192</v>
      </c>
      <c r="E372" s="3" t="s">
        <v>3109</v>
      </c>
      <c r="F372" s="27">
        <v>1</v>
      </c>
      <c r="G372" s="28" t="s">
        <v>371</v>
      </c>
      <c r="H372" s="29"/>
    </row>
    <row r="373" spans="1:8" s="22" customFormat="1" ht="15.9" customHeight="1">
      <c r="A373" s="27">
        <v>369</v>
      </c>
      <c r="B373" s="3" t="s">
        <v>1276</v>
      </c>
      <c r="C373" s="28" t="s">
        <v>3755</v>
      </c>
      <c r="D373" s="28" t="s">
        <v>2193</v>
      </c>
      <c r="E373" s="3" t="s">
        <v>3110</v>
      </c>
      <c r="F373" s="27">
        <v>1</v>
      </c>
      <c r="G373" s="28" t="s">
        <v>371</v>
      </c>
      <c r="H373" s="29"/>
    </row>
    <row r="374" spans="1:8" s="22" customFormat="1" ht="15.9" customHeight="1">
      <c r="A374" s="27">
        <v>370</v>
      </c>
      <c r="B374" s="3" t="s">
        <v>1277</v>
      </c>
      <c r="C374" s="28" t="s">
        <v>371</v>
      </c>
      <c r="D374" s="28" t="s">
        <v>2194</v>
      </c>
      <c r="E374" s="3" t="s">
        <v>3111</v>
      </c>
      <c r="F374" s="27">
        <v>1</v>
      </c>
      <c r="G374" s="28" t="s">
        <v>371</v>
      </c>
      <c r="H374" s="29"/>
    </row>
    <row r="375" spans="1:8" s="22" customFormat="1" ht="15.9" customHeight="1">
      <c r="A375" s="27">
        <v>371</v>
      </c>
      <c r="B375" s="3" t="s">
        <v>1278</v>
      </c>
      <c r="C375" s="28" t="s">
        <v>4542</v>
      </c>
      <c r="D375" s="28" t="s">
        <v>2195</v>
      </c>
      <c r="E375" s="3" t="s">
        <v>3112</v>
      </c>
      <c r="F375" s="27">
        <v>1</v>
      </c>
      <c r="G375" s="28" t="s">
        <v>371</v>
      </c>
      <c r="H375" s="29"/>
    </row>
    <row r="376" spans="1:8" s="22" customFormat="1" ht="15.9" customHeight="1">
      <c r="A376" s="27">
        <v>372</v>
      </c>
      <c r="B376" s="3" t="s">
        <v>1279</v>
      </c>
      <c r="C376" s="28" t="s">
        <v>3743</v>
      </c>
      <c r="D376" s="28" t="s">
        <v>2196</v>
      </c>
      <c r="E376" s="3" t="s">
        <v>3113</v>
      </c>
      <c r="F376" s="27">
        <v>1</v>
      </c>
      <c r="G376" s="28" t="s">
        <v>371</v>
      </c>
      <c r="H376" s="29"/>
    </row>
    <row r="377" spans="1:8" s="22" customFormat="1" ht="15.9" customHeight="1">
      <c r="A377" s="27">
        <v>373</v>
      </c>
      <c r="B377" s="3" t="s">
        <v>1280</v>
      </c>
      <c r="C377" s="28" t="s">
        <v>4941</v>
      </c>
      <c r="D377" s="28" t="s">
        <v>2197</v>
      </c>
      <c r="E377" s="3" t="s">
        <v>3114</v>
      </c>
      <c r="F377" s="27">
        <v>1</v>
      </c>
      <c r="G377" s="28" t="s">
        <v>371</v>
      </c>
      <c r="H377" s="29"/>
    </row>
    <row r="378" spans="1:8" s="22" customFormat="1" ht="15.9" customHeight="1">
      <c r="A378" s="27">
        <v>374</v>
      </c>
      <c r="B378" s="3" t="s">
        <v>1281</v>
      </c>
      <c r="C378" s="28" t="s">
        <v>371</v>
      </c>
      <c r="D378" s="28" t="s">
        <v>2198</v>
      </c>
      <c r="E378" s="3" t="s">
        <v>3115</v>
      </c>
      <c r="F378" s="27">
        <v>1</v>
      </c>
      <c r="G378" s="28" t="s">
        <v>371</v>
      </c>
      <c r="H378" s="29"/>
    </row>
    <row r="379" spans="1:8" s="22" customFormat="1" ht="15.9" customHeight="1">
      <c r="A379" s="27">
        <v>375</v>
      </c>
      <c r="B379" s="3" t="s">
        <v>1282</v>
      </c>
      <c r="C379" s="28" t="s">
        <v>3756</v>
      </c>
      <c r="D379" s="28" t="s">
        <v>2199</v>
      </c>
      <c r="E379" s="3" t="s">
        <v>3116</v>
      </c>
      <c r="F379" s="27">
        <v>1</v>
      </c>
      <c r="G379" s="28" t="s">
        <v>371</v>
      </c>
      <c r="H379" s="29"/>
    </row>
    <row r="380" spans="1:8" s="22" customFormat="1" ht="15.9" customHeight="1">
      <c r="A380" s="27">
        <v>376</v>
      </c>
      <c r="B380" s="3" t="s">
        <v>1283</v>
      </c>
      <c r="C380" s="28" t="s">
        <v>3757</v>
      </c>
      <c r="D380" s="28" t="s">
        <v>2200</v>
      </c>
      <c r="E380" s="3" t="s">
        <v>3117</v>
      </c>
      <c r="F380" s="27">
        <v>1</v>
      </c>
      <c r="G380" s="28" t="s">
        <v>371</v>
      </c>
      <c r="H380" s="29"/>
    </row>
    <row r="381" spans="1:8" s="22" customFormat="1" ht="15.9" customHeight="1">
      <c r="A381" s="27">
        <v>377</v>
      </c>
      <c r="B381" s="3" t="s">
        <v>1284</v>
      </c>
      <c r="C381" s="28" t="s">
        <v>4558</v>
      </c>
      <c r="D381" s="28" t="s">
        <v>2201</v>
      </c>
      <c r="E381" s="3" t="s">
        <v>3118</v>
      </c>
      <c r="F381" s="27">
        <v>1</v>
      </c>
      <c r="G381" s="28" t="s">
        <v>371</v>
      </c>
      <c r="H381" s="29"/>
    </row>
    <row r="382" spans="1:8" s="22" customFormat="1" ht="15.9" customHeight="1">
      <c r="A382" s="27">
        <v>378</v>
      </c>
      <c r="B382" s="3" t="s">
        <v>1285</v>
      </c>
      <c r="C382" s="28" t="s">
        <v>3677</v>
      </c>
      <c r="D382" s="28" t="s">
        <v>2202</v>
      </c>
      <c r="E382" s="3" t="s">
        <v>3119</v>
      </c>
      <c r="F382" s="27">
        <v>1</v>
      </c>
      <c r="G382" s="28" t="s">
        <v>371</v>
      </c>
      <c r="H382" s="29"/>
    </row>
    <row r="383" spans="1:8" s="22" customFormat="1" ht="15.9" customHeight="1">
      <c r="A383" s="27">
        <v>379</v>
      </c>
      <c r="B383" s="3" t="s">
        <v>1286</v>
      </c>
      <c r="C383" s="28" t="s">
        <v>4559</v>
      </c>
      <c r="D383" s="28" t="s">
        <v>2203</v>
      </c>
      <c r="E383" s="3" t="s">
        <v>3120</v>
      </c>
      <c r="F383" s="27">
        <v>1</v>
      </c>
      <c r="G383" s="28" t="s">
        <v>371</v>
      </c>
      <c r="H383" s="29"/>
    </row>
    <row r="384" spans="1:8" s="22" customFormat="1" ht="15.9" customHeight="1">
      <c r="A384" s="27">
        <v>380</v>
      </c>
      <c r="B384" s="3" t="s">
        <v>1287</v>
      </c>
      <c r="C384" s="28" t="s">
        <v>3758</v>
      </c>
      <c r="D384" s="28" t="s">
        <v>2204</v>
      </c>
      <c r="E384" s="3" t="s">
        <v>3121</v>
      </c>
      <c r="F384" s="27">
        <v>1</v>
      </c>
      <c r="G384" s="28" t="s">
        <v>371</v>
      </c>
      <c r="H384" s="29"/>
    </row>
    <row r="385" spans="1:8" s="22" customFormat="1" ht="15.9" customHeight="1">
      <c r="A385" s="27">
        <v>381</v>
      </c>
      <c r="B385" s="3" t="s">
        <v>1288</v>
      </c>
      <c r="C385" s="28" t="s">
        <v>3759</v>
      </c>
      <c r="D385" s="28" t="s">
        <v>2205</v>
      </c>
      <c r="E385" s="3" t="s">
        <v>3122</v>
      </c>
      <c r="F385" s="27">
        <v>1</v>
      </c>
      <c r="G385" s="28" t="s">
        <v>371</v>
      </c>
      <c r="H385" s="29"/>
    </row>
    <row r="386" spans="1:8" s="22" customFormat="1" ht="15.9" customHeight="1">
      <c r="A386" s="27">
        <v>382</v>
      </c>
      <c r="B386" s="3" t="s">
        <v>4560</v>
      </c>
      <c r="C386" s="28" t="s">
        <v>4561</v>
      </c>
      <c r="D386" s="28" t="s">
        <v>4562</v>
      </c>
      <c r="E386" s="3" t="s">
        <v>4563</v>
      </c>
      <c r="F386" s="27">
        <v>1</v>
      </c>
      <c r="G386" s="28" t="s">
        <v>371</v>
      </c>
      <c r="H386" s="29"/>
    </row>
    <row r="387" spans="1:8" s="22" customFormat="1" ht="15.9" customHeight="1">
      <c r="A387" s="27">
        <v>383</v>
      </c>
      <c r="B387" s="3" t="s">
        <v>4564</v>
      </c>
      <c r="C387" s="28" t="s">
        <v>4565</v>
      </c>
      <c r="D387" s="28" t="s">
        <v>4566</v>
      </c>
      <c r="E387" s="3" t="s">
        <v>4567</v>
      </c>
      <c r="F387" s="27">
        <v>1</v>
      </c>
      <c r="G387" s="28" t="s">
        <v>371</v>
      </c>
      <c r="H387" s="29"/>
    </row>
    <row r="388" spans="1:8" s="22" customFormat="1" ht="15.9" customHeight="1">
      <c r="A388" s="27">
        <v>384</v>
      </c>
      <c r="B388" s="3" t="s">
        <v>1289</v>
      </c>
      <c r="C388" s="28" t="s">
        <v>118</v>
      </c>
      <c r="D388" s="28" t="s">
        <v>2206</v>
      </c>
      <c r="E388" s="3" t="s">
        <v>3123</v>
      </c>
      <c r="F388" s="27">
        <v>1</v>
      </c>
      <c r="G388" s="28" t="s">
        <v>371</v>
      </c>
      <c r="H388" s="29"/>
    </row>
    <row r="389" spans="1:8" s="22" customFormat="1" ht="15.9" customHeight="1">
      <c r="A389" s="27">
        <v>385</v>
      </c>
      <c r="B389" s="3" t="s">
        <v>1290</v>
      </c>
      <c r="C389" s="28" t="s">
        <v>371</v>
      </c>
      <c r="D389" s="28" t="s">
        <v>2207</v>
      </c>
      <c r="E389" s="3" t="s">
        <v>3124</v>
      </c>
      <c r="F389" s="27">
        <v>1</v>
      </c>
      <c r="G389" s="28" t="s">
        <v>371</v>
      </c>
      <c r="H389" s="29"/>
    </row>
    <row r="390" spans="1:8" s="22" customFormat="1" ht="15.9" customHeight="1">
      <c r="A390" s="27">
        <v>386</v>
      </c>
      <c r="B390" s="3" t="s">
        <v>1291</v>
      </c>
      <c r="C390" s="28" t="s">
        <v>4936</v>
      </c>
      <c r="D390" s="28" t="s">
        <v>2208</v>
      </c>
      <c r="E390" s="3" t="s">
        <v>3125</v>
      </c>
      <c r="F390" s="27">
        <v>1</v>
      </c>
      <c r="G390" s="28" t="s">
        <v>371</v>
      </c>
      <c r="H390" s="29"/>
    </row>
    <row r="391" spans="1:8" s="22" customFormat="1" ht="15.9" customHeight="1">
      <c r="A391" s="27">
        <v>387</v>
      </c>
      <c r="B391" s="3" t="s">
        <v>1292</v>
      </c>
      <c r="C391" s="28" t="s">
        <v>3677</v>
      </c>
      <c r="D391" s="28" t="s">
        <v>2209</v>
      </c>
      <c r="E391" s="3" t="s">
        <v>3126</v>
      </c>
      <c r="F391" s="27">
        <v>1</v>
      </c>
      <c r="G391" s="28" t="s">
        <v>371</v>
      </c>
      <c r="H391" s="29"/>
    </row>
    <row r="392" spans="1:8" s="22" customFormat="1" ht="15.9" customHeight="1">
      <c r="A392" s="27">
        <v>388</v>
      </c>
      <c r="B392" s="3" t="s">
        <v>1293</v>
      </c>
      <c r="C392" s="28" t="s">
        <v>3695</v>
      </c>
      <c r="D392" s="28" t="s">
        <v>2210</v>
      </c>
      <c r="E392" s="3" t="s">
        <v>3127</v>
      </c>
      <c r="F392" s="27">
        <v>1</v>
      </c>
      <c r="G392" s="28" t="s">
        <v>371</v>
      </c>
      <c r="H392" s="29"/>
    </row>
    <row r="393" spans="1:8" s="22" customFormat="1" ht="15.9" customHeight="1">
      <c r="A393" s="27">
        <v>389</v>
      </c>
      <c r="B393" s="3" t="s">
        <v>1294</v>
      </c>
      <c r="C393" s="28" t="s">
        <v>3760</v>
      </c>
      <c r="D393" s="28" t="s">
        <v>2211</v>
      </c>
      <c r="E393" s="3" t="s">
        <v>3128</v>
      </c>
      <c r="F393" s="27">
        <v>1</v>
      </c>
      <c r="G393" s="28" t="s">
        <v>371</v>
      </c>
      <c r="H393" s="29"/>
    </row>
    <row r="394" spans="1:8" s="22" customFormat="1" ht="15.9" customHeight="1">
      <c r="A394" s="27">
        <v>390</v>
      </c>
      <c r="B394" s="3" t="s">
        <v>1295</v>
      </c>
      <c r="C394" s="28" t="s">
        <v>4568</v>
      </c>
      <c r="D394" s="28" t="s">
        <v>2212</v>
      </c>
      <c r="E394" s="3" t="s">
        <v>3129</v>
      </c>
      <c r="F394" s="27">
        <v>1</v>
      </c>
      <c r="G394" s="28" t="s">
        <v>371</v>
      </c>
      <c r="H394" s="29"/>
    </row>
    <row r="395" spans="1:8" s="22" customFormat="1" ht="15.9" customHeight="1">
      <c r="A395" s="27">
        <v>391</v>
      </c>
      <c r="B395" s="3" t="s">
        <v>4569</v>
      </c>
      <c r="C395" s="28" t="s">
        <v>371</v>
      </c>
      <c r="D395" s="28" t="s">
        <v>4570</v>
      </c>
      <c r="E395" s="3" t="s">
        <v>4571</v>
      </c>
      <c r="F395" s="27">
        <v>1</v>
      </c>
      <c r="G395" s="28" t="s">
        <v>371</v>
      </c>
      <c r="H395" s="29"/>
    </row>
    <row r="396" spans="1:8" s="22" customFormat="1" ht="15.9" customHeight="1">
      <c r="A396" s="27">
        <v>392</v>
      </c>
      <c r="B396" s="3" t="s">
        <v>4572</v>
      </c>
      <c r="C396" s="28" t="s">
        <v>371</v>
      </c>
      <c r="D396" s="28" t="s">
        <v>4573</v>
      </c>
      <c r="E396" s="3" t="s">
        <v>4574</v>
      </c>
      <c r="F396" s="27">
        <v>1</v>
      </c>
      <c r="G396" s="28" t="s">
        <v>371</v>
      </c>
      <c r="H396" s="29"/>
    </row>
    <row r="397" spans="1:8" s="22" customFormat="1" ht="15.9" customHeight="1">
      <c r="A397" s="27">
        <v>393</v>
      </c>
      <c r="B397" s="3" t="s">
        <v>1296</v>
      </c>
      <c r="C397" s="28" t="s">
        <v>3677</v>
      </c>
      <c r="D397" s="28" t="s">
        <v>2213</v>
      </c>
      <c r="E397" s="3" t="s">
        <v>3130</v>
      </c>
      <c r="F397" s="27">
        <v>1</v>
      </c>
      <c r="G397" s="28" t="s">
        <v>371</v>
      </c>
      <c r="H397" s="29"/>
    </row>
    <row r="398" spans="1:8" s="22" customFormat="1" ht="15.9" customHeight="1">
      <c r="A398" s="27">
        <v>394</v>
      </c>
      <c r="B398" s="3" t="s">
        <v>1297</v>
      </c>
      <c r="C398" s="28" t="s">
        <v>3677</v>
      </c>
      <c r="D398" s="28" t="s">
        <v>2214</v>
      </c>
      <c r="E398" s="3" t="s">
        <v>3131</v>
      </c>
      <c r="F398" s="27">
        <v>1</v>
      </c>
      <c r="G398" s="28" t="s">
        <v>371</v>
      </c>
      <c r="H398" s="29"/>
    </row>
    <row r="399" spans="1:8" s="22" customFormat="1" ht="15.9" customHeight="1">
      <c r="A399" s="27">
        <v>395</v>
      </c>
      <c r="B399" s="3" t="s">
        <v>1298</v>
      </c>
      <c r="C399" s="28" t="s">
        <v>3761</v>
      </c>
      <c r="D399" s="28" t="s">
        <v>2215</v>
      </c>
      <c r="E399" s="3" t="s">
        <v>3132</v>
      </c>
      <c r="F399" s="27">
        <v>1</v>
      </c>
      <c r="G399" s="28" t="s">
        <v>371</v>
      </c>
      <c r="H399" s="29"/>
    </row>
    <row r="400" spans="1:8" s="22" customFormat="1" ht="15.9" customHeight="1">
      <c r="A400" s="27">
        <v>396</v>
      </c>
      <c r="B400" s="3" t="s">
        <v>1299</v>
      </c>
      <c r="C400" s="28" t="s">
        <v>371</v>
      </c>
      <c r="D400" s="28" t="s">
        <v>2216</v>
      </c>
      <c r="E400" s="3" t="s">
        <v>3133</v>
      </c>
      <c r="F400" s="27">
        <v>1</v>
      </c>
      <c r="G400" s="28" t="s">
        <v>371</v>
      </c>
      <c r="H400" s="29"/>
    </row>
    <row r="401" spans="1:8" s="22" customFormat="1" ht="15.9" customHeight="1">
      <c r="A401" s="27">
        <v>397</v>
      </c>
      <c r="B401" s="3" t="s">
        <v>4575</v>
      </c>
      <c r="C401" s="28" t="s">
        <v>3715</v>
      </c>
      <c r="D401" s="28" t="s">
        <v>4576</v>
      </c>
      <c r="E401" s="3" t="s">
        <v>4577</v>
      </c>
      <c r="F401" s="27">
        <v>1</v>
      </c>
      <c r="G401" s="28" t="s">
        <v>371</v>
      </c>
      <c r="H401" s="29"/>
    </row>
    <row r="402" spans="1:8" s="22" customFormat="1" ht="15.9" customHeight="1">
      <c r="A402" s="27">
        <v>398</v>
      </c>
      <c r="B402" s="3" t="s">
        <v>1300</v>
      </c>
      <c r="C402" s="28" t="s">
        <v>4578</v>
      </c>
      <c r="D402" s="28" t="s">
        <v>2217</v>
      </c>
      <c r="E402" s="3" t="s">
        <v>3134</v>
      </c>
      <c r="F402" s="27">
        <v>1</v>
      </c>
      <c r="G402" s="28" t="s">
        <v>371</v>
      </c>
      <c r="H402" s="29"/>
    </row>
    <row r="403" spans="1:8" s="22" customFormat="1" ht="15.9" customHeight="1">
      <c r="A403" s="27">
        <v>399</v>
      </c>
      <c r="B403" s="3" t="s">
        <v>1301</v>
      </c>
      <c r="C403" s="28" t="s">
        <v>3762</v>
      </c>
      <c r="D403" s="28" t="s">
        <v>2218</v>
      </c>
      <c r="E403" s="3" t="s">
        <v>3135</v>
      </c>
      <c r="F403" s="27">
        <v>1</v>
      </c>
      <c r="G403" s="28" t="s">
        <v>371</v>
      </c>
      <c r="H403" s="29"/>
    </row>
    <row r="404" spans="1:8" s="22" customFormat="1" ht="15.9" customHeight="1">
      <c r="A404" s="27">
        <v>400</v>
      </c>
      <c r="B404" s="3" t="s">
        <v>1302</v>
      </c>
      <c r="C404" s="28" t="s">
        <v>371</v>
      </c>
      <c r="D404" s="28" t="s">
        <v>2219</v>
      </c>
      <c r="E404" s="3" t="s">
        <v>3136</v>
      </c>
      <c r="F404" s="27">
        <v>1</v>
      </c>
      <c r="G404" s="28" t="s">
        <v>371</v>
      </c>
      <c r="H404" s="29"/>
    </row>
    <row r="405" spans="1:8" s="22" customFormat="1" ht="15.9" customHeight="1">
      <c r="A405" s="27">
        <v>401</v>
      </c>
      <c r="B405" s="3" t="s">
        <v>4579</v>
      </c>
      <c r="C405" s="28" t="s">
        <v>4580</v>
      </c>
      <c r="D405" s="28" t="s">
        <v>4581</v>
      </c>
      <c r="E405" s="3" t="s">
        <v>4582</v>
      </c>
      <c r="F405" s="27">
        <v>1</v>
      </c>
      <c r="G405" s="28" t="s">
        <v>371</v>
      </c>
      <c r="H405" s="29"/>
    </row>
    <row r="406" spans="1:8" s="22" customFormat="1" ht="15.9" customHeight="1">
      <c r="A406" s="27">
        <v>402</v>
      </c>
      <c r="B406" s="3" t="s">
        <v>1303</v>
      </c>
      <c r="C406" s="28" t="s">
        <v>4944</v>
      </c>
      <c r="D406" s="28" t="s">
        <v>2220</v>
      </c>
      <c r="E406" s="3" t="s">
        <v>3137</v>
      </c>
      <c r="F406" s="27">
        <v>1</v>
      </c>
      <c r="G406" s="28" t="s">
        <v>4335</v>
      </c>
      <c r="H406" s="29"/>
    </row>
    <row r="407" spans="1:8" s="22" customFormat="1" ht="15.9" customHeight="1">
      <c r="A407" s="27">
        <v>403</v>
      </c>
      <c r="B407" s="3" t="s">
        <v>1304</v>
      </c>
      <c r="C407" s="28" t="s">
        <v>371</v>
      </c>
      <c r="D407" s="28" t="s">
        <v>2221</v>
      </c>
      <c r="E407" s="3" t="s">
        <v>3138</v>
      </c>
      <c r="F407" s="27">
        <v>1</v>
      </c>
      <c r="G407" s="28" t="s">
        <v>371</v>
      </c>
      <c r="H407" s="29"/>
    </row>
    <row r="408" spans="1:8" s="22" customFormat="1" ht="15.9" customHeight="1">
      <c r="A408" s="27">
        <v>404</v>
      </c>
      <c r="B408" s="3" t="s">
        <v>1305</v>
      </c>
      <c r="C408" s="28" t="s">
        <v>3763</v>
      </c>
      <c r="D408" s="28" t="s">
        <v>2222</v>
      </c>
      <c r="E408" s="3" t="s">
        <v>3139</v>
      </c>
      <c r="F408" s="27">
        <v>1</v>
      </c>
      <c r="G408" s="28" t="s">
        <v>371</v>
      </c>
      <c r="H408" s="29"/>
    </row>
    <row r="409" spans="1:8" s="22" customFormat="1" ht="15.9" customHeight="1">
      <c r="A409" s="27">
        <v>405</v>
      </c>
      <c r="B409" s="3" t="s">
        <v>1306</v>
      </c>
      <c r="C409" s="28" t="s">
        <v>4937</v>
      </c>
      <c r="D409" s="28" t="s">
        <v>2223</v>
      </c>
      <c r="E409" s="3" t="s">
        <v>3140</v>
      </c>
      <c r="F409" s="27">
        <v>1</v>
      </c>
      <c r="G409" s="28" t="s">
        <v>371</v>
      </c>
      <c r="H409" s="29"/>
    </row>
    <row r="410" spans="1:8" s="22" customFormat="1" ht="15.9" customHeight="1">
      <c r="A410" s="27">
        <v>406</v>
      </c>
      <c r="B410" s="3" t="s">
        <v>1307</v>
      </c>
      <c r="C410" s="28" t="s">
        <v>4583</v>
      </c>
      <c r="D410" s="28" t="s">
        <v>2224</v>
      </c>
      <c r="E410" s="3" t="s">
        <v>3141</v>
      </c>
      <c r="F410" s="27">
        <v>1</v>
      </c>
      <c r="G410" s="28" t="s">
        <v>371</v>
      </c>
      <c r="H410" s="29"/>
    </row>
    <row r="411" spans="1:8" s="22" customFormat="1" ht="15.9" customHeight="1">
      <c r="A411" s="27">
        <v>407</v>
      </c>
      <c r="B411" s="3" t="s">
        <v>1308</v>
      </c>
      <c r="C411" s="28" t="s">
        <v>3764</v>
      </c>
      <c r="D411" s="28" t="s">
        <v>2225</v>
      </c>
      <c r="E411" s="3" t="s">
        <v>3142</v>
      </c>
      <c r="F411" s="27">
        <v>1</v>
      </c>
      <c r="G411" s="28" t="s">
        <v>371</v>
      </c>
      <c r="H411" s="29"/>
    </row>
    <row r="412" spans="1:8" s="22" customFormat="1" ht="15.9" customHeight="1">
      <c r="A412" s="27">
        <v>408</v>
      </c>
      <c r="B412" s="3" t="s">
        <v>1309</v>
      </c>
      <c r="C412" s="28" t="s">
        <v>371</v>
      </c>
      <c r="D412" s="28" t="s">
        <v>2226</v>
      </c>
      <c r="E412" s="3" t="s">
        <v>3143</v>
      </c>
      <c r="F412" s="27">
        <v>1</v>
      </c>
      <c r="G412" s="28" t="s">
        <v>371</v>
      </c>
      <c r="H412" s="29"/>
    </row>
    <row r="413" spans="1:8" s="22" customFormat="1" ht="15.9" customHeight="1">
      <c r="A413" s="27">
        <v>409</v>
      </c>
      <c r="B413" s="3" t="s">
        <v>1310</v>
      </c>
      <c r="C413" s="28" t="s">
        <v>3716</v>
      </c>
      <c r="D413" s="28" t="s">
        <v>2227</v>
      </c>
      <c r="E413" s="3" t="s">
        <v>3144</v>
      </c>
      <c r="F413" s="27">
        <v>1</v>
      </c>
      <c r="G413" s="28" t="s">
        <v>371</v>
      </c>
      <c r="H413" s="29"/>
    </row>
    <row r="414" spans="1:8" s="22" customFormat="1" ht="15.9" customHeight="1">
      <c r="A414" s="27">
        <v>410</v>
      </c>
      <c r="B414" s="3" t="s">
        <v>1311</v>
      </c>
      <c r="C414" s="28" t="s">
        <v>4938</v>
      </c>
      <c r="D414" s="28" t="s">
        <v>2228</v>
      </c>
      <c r="E414" s="3" t="s">
        <v>3145</v>
      </c>
      <c r="F414" s="27">
        <v>1</v>
      </c>
      <c r="G414" s="28" t="s">
        <v>371</v>
      </c>
      <c r="H414" s="29"/>
    </row>
    <row r="415" spans="1:8" s="22" customFormat="1" ht="15.9" customHeight="1">
      <c r="A415" s="27">
        <v>411</v>
      </c>
      <c r="B415" s="3" t="s">
        <v>1312</v>
      </c>
      <c r="C415" s="28" t="s">
        <v>102</v>
      </c>
      <c r="D415" s="28" t="s">
        <v>2229</v>
      </c>
      <c r="E415" s="3" t="s">
        <v>3146</v>
      </c>
      <c r="F415" s="27">
        <v>1</v>
      </c>
      <c r="G415" s="28" t="s">
        <v>371</v>
      </c>
      <c r="H415" s="29"/>
    </row>
    <row r="416" spans="1:8" s="22" customFormat="1" ht="15.9" customHeight="1">
      <c r="A416" s="27">
        <v>412</v>
      </c>
      <c r="B416" s="3" t="s">
        <v>1313</v>
      </c>
      <c r="C416" s="28" t="s">
        <v>371</v>
      </c>
      <c r="D416" s="28" t="s">
        <v>2230</v>
      </c>
      <c r="E416" s="3" t="s">
        <v>3147</v>
      </c>
      <c r="F416" s="27">
        <v>1</v>
      </c>
      <c r="G416" s="28" t="s">
        <v>371</v>
      </c>
      <c r="H416" s="29"/>
    </row>
    <row r="417" spans="1:8" s="22" customFormat="1" ht="15.9" customHeight="1">
      <c r="A417" s="27">
        <v>413</v>
      </c>
      <c r="B417" s="3" t="s">
        <v>1314</v>
      </c>
      <c r="C417" s="28" t="s">
        <v>371</v>
      </c>
      <c r="D417" s="28" t="s">
        <v>2231</v>
      </c>
      <c r="E417" s="3" t="s">
        <v>3148</v>
      </c>
      <c r="F417" s="27">
        <v>1</v>
      </c>
      <c r="G417" s="28" t="s">
        <v>371</v>
      </c>
      <c r="H417" s="29"/>
    </row>
    <row r="418" spans="1:8" s="22" customFormat="1" ht="15.9" customHeight="1">
      <c r="A418" s="27">
        <v>414</v>
      </c>
      <c r="B418" s="3" t="s">
        <v>1315</v>
      </c>
      <c r="C418" s="28" t="s">
        <v>3765</v>
      </c>
      <c r="D418" s="28" t="s">
        <v>2232</v>
      </c>
      <c r="E418" s="3" t="s">
        <v>3149</v>
      </c>
      <c r="F418" s="27">
        <v>1</v>
      </c>
      <c r="G418" s="28" t="s">
        <v>371</v>
      </c>
      <c r="H418" s="29"/>
    </row>
    <row r="419" spans="1:8" s="22" customFormat="1" ht="15.9" customHeight="1">
      <c r="A419" s="27">
        <v>415</v>
      </c>
      <c r="B419" s="3" t="s">
        <v>4584</v>
      </c>
      <c r="C419" s="28" t="s">
        <v>4585</v>
      </c>
      <c r="D419" s="28" t="s">
        <v>4586</v>
      </c>
      <c r="E419" s="3" t="s">
        <v>4587</v>
      </c>
      <c r="F419" s="27">
        <v>1</v>
      </c>
      <c r="G419" s="28" t="s">
        <v>371</v>
      </c>
      <c r="H419" s="29"/>
    </row>
    <row r="420" spans="1:8" s="22" customFormat="1" ht="15.9" customHeight="1">
      <c r="A420" s="27">
        <v>416</v>
      </c>
      <c r="B420" s="3" t="s">
        <v>1316</v>
      </c>
      <c r="C420" s="28" t="s">
        <v>371</v>
      </c>
      <c r="D420" s="28" t="s">
        <v>2233</v>
      </c>
      <c r="E420" s="3" t="s">
        <v>3150</v>
      </c>
      <c r="F420" s="27">
        <v>1</v>
      </c>
      <c r="G420" s="28" t="s">
        <v>371</v>
      </c>
      <c r="H420" s="29"/>
    </row>
    <row r="421" spans="1:8" s="22" customFormat="1" ht="15.9" customHeight="1">
      <c r="A421" s="27">
        <v>417</v>
      </c>
      <c r="B421" s="3" t="s">
        <v>1317</v>
      </c>
      <c r="C421" s="28" t="s">
        <v>4588</v>
      </c>
      <c r="D421" s="28" t="s">
        <v>2234</v>
      </c>
      <c r="E421" s="3" t="s">
        <v>3151</v>
      </c>
      <c r="F421" s="27">
        <v>1</v>
      </c>
      <c r="G421" s="28" t="s">
        <v>371</v>
      </c>
      <c r="H421" s="29"/>
    </row>
    <row r="422" spans="1:8" s="22" customFormat="1" ht="15.9" customHeight="1">
      <c r="A422" s="27">
        <v>418</v>
      </c>
      <c r="B422" s="3" t="s">
        <v>1318</v>
      </c>
      <c r="C422" s="28" t="s">
        <v>371</v>
      </c>
      <c r="D422" s="28" t="s">
        <v>2235</v>
      </c>
      <c r="E422" s="3" t="s">
        <v>3152</v>
      </c>
      <c r="F422" s="27">
        <v>1</v>
      </c>
      <c r="G422" s="28" t="s">
        <v>371</v>
      </c>
      <c r="H422" s="29"/>
    </row>
    <row r="423" spans="1:8" s="22" customFormat="1" ht="15.9" customHeight="1">
      <c r="A423" s="27">
        <v>419</v>
      </c>
      <c r="B423" s="3" t="s">
        <v>1319</v>
      </c>
      <c r="C423" s="28" t="s">
        <v>3695</v>
      </c>
      <c r="D423" s="28" t="s">
        <v>2236</v>
      </c>
      <c r="E423" s="3" t="s">
        <v>3153</v>
      </c>
      <c r="F423" s="27">
        <v>1</v>
      </c>
      <c r="G423" s="28" t="s">
        <v>371</v>
      </c>
      <c r="H423" s="29"/>
    </row>
    <row r="424" spans="1:8" s="22" customFormat="1" ht="15.9" customHeight="1">
      <c r="A424" s="27">
        <v>420</v>
      </c>
      <c r="B424" s="3" t="s">
        <v>1320</v>
      </c>
      <c r="C424" s="28" t="s">
        <v>3766</v>
      </c>
      <c r="D424" s="28" t="s">
        <v>2237</v>
      </c>
      <c r="E424" s="3" t="s">
        <v>3154</v>
      </c>
      <c r="F424" s="27">
        <v>1</v>
      </c>
      <c r="G424" s="28" t="s">
        <v>371</v>
      </c>
      <c r="H424" s="29"/>
    </row>
    <row r="425" spans="1:8" s="22" customFormat="1" ht="15.9" customHeight="1">
      <c r="A425" s="27">
        <v>421</v>
      </c>
      <c r="B425" s="3" t="s">
        <v>4589</v>
      </c>
      <c r="C425" s="28" t="s">
        <v>4590</v>
      </c>
      <c r="D425" s="28" t="s">
        <v>4591</v>
      </c>
      <c r="E425" s="3" t="s">
        <v>4592</v>
      </c>
      <c r="F425" s="27">
        <v>1</v>
      </c>
      <c r="G425" s="28" t="s">
        <v>371</v>
      </c>
      <c r="H425" s="29"/>
    </row>
    <row r="426" spans="1:8" s="22" customFormat="1" ht="15.9" customHeight="1">
      <c r="A426" s="27">
        <v>422</v>
      </c>
      <c r="B426" s="3" t="s">
        <v>1321</v>
      </c>
      <c r="C426" s="28" t="s">
        <v>3767</v>
      </c>
      <c r="D426" s="28" t="s">
        <v>2238</v>
      </c>
      <c r="E426" s="3" t="s">
        <v>3155</v>
      </c>
      <c r="F426" s="27">
        <v>1</v>
      </c>
      <c r="G426" s="28" t="s">
        <v>371</v>
      </c>
      <c r="H426" s="29"/>
    </row>
    <row r="427" spans="1:8" s="22" customFormat="1" ht="15.9" customHeight="1">
      <c r="A427" s="27">
        <v>423</v>
      </c>
      <c r="B427" s="3" t="s">
        <v>1322</v>
      </c>
      <c r="C427" s="28" t="s">
        <v>4556</v>
      </c>
      <c r="D427" s="28" t="s">
        <v>2239</v>
      </c>
      <c r="E427" s="3" t="s">
        <v>3156</v>
      </c>
      <c r="F427" s="27">
        <v>1</v>
      </c>
      <c r="G427" s="28" t="s">
        <v>4335</v>
      </c>
      <c r="H427" s="29"/>
    </row>
    <row r="428" spans="1:8" s="22" customFormat="1" ht="15.9" customHeight="1">
      <c r="A428" s="27">
        <v>424</v>
      </c>
      <c r="B428" s="3" t="s">
        <v>3795</v>
      </c>
      <c r="C428" s="28" t="s">
        <v>1976</v>
      </c>
      <c r="D428" s="28" t="s">
        <v>2240</v>
      </c>
      <c r="E428" s="3" t="s">
        <v>3157</v>
      </c>
      <c r="F428" s="27">
        <v>1</v>
      </c>
      <c r="G428" s="28" t="s">
        <v>371</v>
      </c>
      <c r="H428" s="29"/>
    </row>
    <row r="429" spans="1:8" s="22" customFormat="1" ht="15.9" customHeight="1">
      <c r="A429" s="27">
        <v>425</v>
      </c>
      <c r="B429" s="3" t="s">
        <v>1323</v>
      </c>
      <c r="C429" s="28" t="s">
        <v>3768</v>
      </c>
      <c r="D429" s="28" t="s">
        <v>2241</v>
      </c>
      <c r="E429" s="3" t="s">
        <v>3158</v>
      </c>
      <c r="F429" s="27">
        <v>1</v>
      </c>
      <c r="G429" s="28" t="s">
        <v>371</v>
      </c>
      <c r="H429" s="29"/>
    </row>
    <row r="430" spans="1:8" s="22" customFormat="1" ht="15.9" customHeight="1">
      <c r="A430" s="27">
        <v>426</v>
      </c>
      <c r="B430" s="3" t="s">
        <v>1324</v>
      </c>
      <c r="C430" s="28" t="s">
        <v>3677</v>
      </c>
      <c r="D430" s="28" t="s">
        <v>2242</v>
      </c>
      <c r="E430" s="3" t="s">
        <v>3159</v>
      </c>
      <c r="F430" s="27">
        <v>1</v>
      </c>
      <c r="G430" s="28" t="s">
        <v>371</v>
      </c>
      <c r="H430" s="29"/>
    </row>
    <row r="431" spans="1:8" s="22" customFormat="1" ht="15.9" customHeight="1">
      <c r="A431" s="27">
        <v>427</v>
      </c>
      <c r="B431" s="3" t="s">
        <v>1325</v>
      </c>
      <c r="C431" s="28" t="s">
        <v>371</v>
      </c>
      <c r="D431" s="28" t="s">
        <v>2243</v>
      </c>
      <c r="E431" s="3" t="s">
        <v>3160</v>
      </c>
      <c r="F431" s="27">
        <v>1</v>
      </c>
      <c r="G431" s="28" t="s">
        <v>371</v>
      </c>
      <c r="H431" s="29"/>
    </row>
    <row r="432" spans="1:8" s="22" customFormat="1" ht="15.9" customHeight="1">
      <c r="A432" s="27">
        <v>428</v>
      </c>
      <c r="B432" s="3" t="s">
        <v>1326</v>
      </c>
      <c r="C432" s="28" t="s">
        <v>4593</v>
      </c>
      <c r="D432" s="28" t="s">
        <v>2244</v>
      </c>
      <c r="E432" s="3" t="s">
        <v>3161</v>
      </c>
      <c r="F432" s="27">
        <v>1</v>
      </c>
      <c r="G432" s="28" t="s">
        <v>371</v>
      </c>
      <c r="H432" s="29"/>
    </row>
    <row r="433" spans="1:8" s="22" customFormat="1" ht="15.9" customHeight="1">
      <c r="A433" s="27">
        <v>429</v>
      </c>
      <c r="B433" s="3" t="s">
        <v>1327</v>
      </c>
      <c r="C433" s="28" t="s">
        <v>3769</v>
      </c>
      <c r="D433" s="28" t="s">
        <v>2245</v>
      </c>
      <c r="E433" s="3" t="s">
        <v>3162</v>
      </c>
      <c r="F433" s="27">
        <v>1</v>
      </c>
      <c r="G433" s="28" t="s">
        <v>371</v>
      </c>
      <c r="H433" s="29"/>
    </row>
    <row r="434" spans="1:8" s="22" customFormat="1" ht="15.9" customHeight="1">
      <c r="A434" s="27">
        <v>430</v>
      </c>
      <c r="B434" s="3" t="s">
        <v>1328</v>
      </c>
      <c r="C434" s="28" t="s">
        <v>3770</v>
      </c>
      <c r="D434" s="28" t="s">
        <v>2246</v>
      </c>
      <c r="E434" s="3" t="s">
        <v>3163</v>
      </c>
      <c r="F434" s="27">
        <v>1</v>
      </c>
      <c r="G434" s="28" t="s">
        <v>371</v>
      </c>
      <c r="H434" s="29"/>
    </row>
    <row r="435" spans="1:8" s="22" customFormat="1" ht="15.9" customHeight="1">
      <c r="A435" s="27">
        <v>431</v>
      </c>
      <c r="B435" s="3" t="s">
        <v>4594</v>
      </c>
      <c r="C435" s="28" t="s">
        <v>4595</v>
      </c>
      <c r="D435" s="28" t="s">
        <v>4596</v>
      </c>
      <c r="E435" s="3" t="s">
        <v>4597</v>
      </c>
      <c r="F435" s="27">
        <v>1</v>
      </c>
      <c r="G435" s="28" t="s">
        <v>371</v>
      </c>
      <c r="H435" s="29"/>
    </row>
    <row r="436" spans="1:8" s="22" customFormat="1" ht="15.9" customHeight="1">
      <c r="A436" s="27">
        <v>432</v>
      </c>
      <c r="B436" s="3" t="s">
        <v>1329</v>
      </c>
      <c r="C436" s="28" t="s">
        <v>3771</v>
      </c>
      <c r="D436" s="28" t="s">
        <v>2247</v>
      </c>
      <c r="E436" s="3" t="s">
        <v>3164</v>
      </c>
      <c r="F436" s="27">
        <v>1</v>
      </c>
      <c r="G436" s="28" t="s">
        <v>371</v>
      </c>
      <c r="H436" s="29"/>
    </row>
    <row r="437" spans="1:8" s="22" customFormat="1" ht="15.9" customHeight="1">
      <c r="A437" s="27">
        <v>433</v>
      </c>
      <c r="B437" s="3" t="s">
        <v>1330</v>
      </c>
      <c r="C437" s="28" t="s">
        <v>371</v>
      </c>
      <c r="D437" s="28" t="s">
        <v>2248</v>
      </c>
      <c r="E437" s="3" t="s">
        <v>3165</v>
      </c>
      <c r="F437" s="27">
        <v>1</v>
      </c>
      <c r="G437" s="28" t="s">
        <v>371</v>
      </c>
      <c r="H437" s="29"/>
    </row>
    <row r="438" spans="1:8" s="22" customFormat="1" ht="15.9" customHeight="1">
      <c r="A438" s="27">
        <v>434</v>
      </c>
      <c r="B438" s="3" t="s">
        <v>1331</v>
      </c>
      <c r="C438" s="28" t="s">
        <v>4598</v>
      </c>
      <c r="D438" s="28" t="s">
        <v>2249</v>
      </c>
      <c r="E438" s="3" t="s">
        <v>3166</v>
      </c>
      <c r="F438" s="27">
        <v>1</v>
      </c>
      <c r="G438" s="28" t="s">
        <v>371</v>
      </c>
      <c r="H438" s="29"/>
    </row>
    <row r="439" spans="1:8" s="22" customFormat="1" ht="15.9" customHeight="1">
      <c r="A439" s="27">
        <v>435</v>
      </c>
      <c r="B439" s="3" t="s">
        <v>1332</v>
      </c>
      <c r="C439" s="28" t="s">
        <v>3772</v>
      </c>
      <c r="D439" s="28" t="s">
        <v>2250</v>
      </c>
      <c r="E439" s="3" t="s">
        <v>3167</v>
      </c>
      <c r="F439" s="27">
        <v>1</v>
      </c>
      <c r="G439" s="28" t="s">
        <v>371</v>
      </c>
      <c r="H439" s="29"/>
    </row>
    <row r="440" spans="1:8" s="22" customFormat="1" ht="15.9" customHeight="1">
      <c r="A440" s="27">
        <v>436</v>
      </c>
      <c r="B440" s="3" t="s">
        <v>1333</v>
      </c>
      <c r="C440" s="28" t="s">
        <v>3773</v>
      </c>
      <c r="D440" s="28" t="s">
        <v>2251</v>
      </c>
      <c r="E440" s="3" t="s">
        <v>3168</v>
      </c>
      <c r="F440" s="27">
        <v>1</v>
      </c>
      <c r="G440" s="28" t="s">
        <v>371</v>
      </c>
      <c r="H440" s="29"/>
    </row>
    <row r="441" spans="1:8" s="22" customFormat="1" ht="15.9" customHeight="1">
      <c r="A441" s="27">
        <v>437</v>
      </c>
      <c r="B441" s="3" t="s">
        <v>1334</v>
      </c>
      <c r="C441" s="28" t="s">
        <v>3774</v>
      </c>
      <c r="D441" s="28" t="s">
        <v>2252</v>
      </c>
      <c r="E441" s="3" t="s">
        <v>3169</v>
      </c>
      <c r="F441" s="27">
        <v>1</v>
      </c>
      <c r="G441" s="28" t="s">
        <v>371</v>
      </c>
      <c r="H441" s="29"/>
    </row>
    <row r="442" spans="1:8" s="22" customFormat="1" ht="15.9" customHeight="1">
      <c r="A442" s="27">
        <v>438</v>
      </c>
      <c r="B442" s="3" t="s">
        <v>1335</v>
      </c>
      <c r="C442" s="28" t="s">
        <v>4599</v>
      </c>
      <c r="D442" s="28" t="s">
        <v>2253</v>
      </c>
      <c r="E442" s="3" t="s">
        <v>3170</v>
      </c>
      <c r="F442" s="27">
        <v>1</v>
      </c>
      <c r="G442" s="28" t="s">
        <v>371</v>
      </c>
      <c r="H442" s="29"/>
    </row>
    <row r="443" spans="1:8" s="22" customFormat="1" ht="15.9" customHeight="1">
      <c r="A443" s="27">
        <v>439</v>
      </c>
      <c r="B443" s="3" t="s">
        <v>1336</v>
      </c>
      <c r="C443" s="28" t="s">
        <v>3775</v>
      </c>
      <c r="D443" s="28" t="s">
        <v>2254</v>
      </c>
      <c r="E443" s="3" t="s">
        <v>3171</v>
      </c>
      <c r="F443" s="27">
        <v>1</v>
      </c>
      <c r="G443" s="28" t="s">
        <v>371</v>
      </c>
      <c r="H443" s="29"/>
    </row>
    <row r="444" spans="1:8" s="22" customFormat="1" ht="15.9" customHeight="1">
      <c r="A444" s="27">
        <v>440</v>
      </c>
      <c r="B444" s="3" t="s">
        <v>1337</v>
      </c>
      <c r="C444" s="28" t="s">
        <v>4556</v>
      </c>
      <c r="D444" s="28" t="s">
        <v>2255</v>
      </c>
      <c r="E444" s="3" t="s">
        <v>3172</v>
      </c>
      <c r="F444" s="27">
        <v>1</v>
      </c>
      <c r="G444" s="28" t="s">
        <v>4335</v>
      </c>
      <c r="H444" s="29"/>
    </row>
    <row r="445" spans="1:8" s="22" customFormat="1" ht="15.9" customHeight="1">
      <c r="A445" s="27">
        <v>441</v>
      </c>
      <c r="B445" s="3" t="s">
        <v>1338</v>
      </c>
      <c r="C445" s="28" t="s">
        <v>102</v>
      </c>
      <c r="D445" s="28" t="s">
        <v>2256</v>
      </c>
      <c r="E445" s="3" t="s">
        <v>3173</v>
      </c>
      <c r="F445" s="27">
        <v>1</v>
      </c>
      <c r="G445" s="28" t="s">
        <v>371</v>
      </c>
      <c r="H445" s="29"/>
    </row>
    <row r="446" spans="1:8" s="22" customFormat="1" ht="15.9" customHeight="1">
      <c r="A446" s="27">
        <v>442</v>
      </c>
      <c r="B446" s="3" t="s">
        <v>1339</v>
      </c>
      <c r="C446" s="28" t="s">
        <v>371</v>
      </c>
      <c r="D446" s="28" t="s">
        <v>2257</v>
      </c>
      <c r="E446" s="3" t="s">
        <v>3174</v>
      </c>
      <c r="F446" s="27">
        <v>1</v>
      </c>
      <c r="G446" s="28" t="s">
        <v>371</v>
      </c>
      <c r="H446" s="29"/>
    </row>
    <row r="447" spans="1:8" s="22" customFormat="1" ht="15.9" customHeight="1">
      <c r="A447" s="27">
        <v>443</v>
      </c>
      <c r="B447" s="3" t="s">
        <v>1340</v>
      </c>
      <c r="C447" s="28" t="s">
        <v>4600</v>
      </c>
      <c r="D447" s="28" t="s">
        <v>2258</v>
      </c>
      <c r="E447" s="3" t="s">
        <v>3175</v>
      </c>
      <c r="F447" s="27">
        <v>1</v>
      </c>
      <c r="G447" s="28" t="s">
        <v>371</v>
      </c>
      <c r="H447" s="29"/>
    </row>
    <row r="448" spans="1:8" s="22" customFormat="1" ht="15.9" customHeight="1">
      <c r="A448" s="27">
        <v>444</v>
      </c>
      <c r="B448" s="3" t="s">
        <v>1341</v>
      </c>
      <c r="C448" s="28" t="s">
        <v>371</v>
      </c>
      <c r="D448" s="28" t="s">
        <v>2259</v>
      </c>
      <c r="E448" s="3" t="s">
        <v>3176</v>
      </c>
      <c r="F448" s="27">
        <v>1</v>
      </c>
      <c r="G448" s="28" t="s">
        <v>371</v>
      </c>
      <c r="H448" s="29"/>
    </row>
    <row r="449" spans="1:8" s="22" customFormat="1" ht="15.9" customHeight="1">
      <c r="A449" s="27">
        <v>445</v>
      </c>
      <c r="B449" s="3" t="s">
        <v>4601</v>
      </c>
      <c r="C449" s="28" t="s">
        <v>371</v>
      </c>
      <c r="D449" s="28" t="s">
        <v>4602</v>
      </c>
      <c r="E449" s="3" t="s">
        <v>4603</v>
      </c>
      <c r="F449" s="27">
        <v>1</v>
      </c>
      <c r="G449" s="28" t="s">
        <v>371</v>
      </c>
      <c r="H449" s="29"/>
    </row>
    <row r="450" spans="1:8" s="22" customFormat="1" ht="15.9" customHeight="1">
      <c r="A450" s="27">
        <v>446</v>
      </c>
      <c r="B450" s="3" t="s">
        <v>1342</v>
      </c>
      <c r="C450" s="28" t="s">
        <v>4939</v>
      </c>
      <c r="D450" s="28" t="s">
        <v>2260</v>
      </c>
      <c r="E450" s="3" t="s">
        <v>3177</v>
      </c>
      <c r="F450" s="27">
        <v>1</v>
      </c>
      <c r="G450" s="28" t="s">
        <v>371</v>
      </c>
      <c r="H450" s="29"/>
    </row>
    <row r="451" spans="1:8" s="22" customFormat="1" ht="15.9" customHeight="1">
      <c r="A451" s="27">
        <v>447</v>
      </c>
      <c r="B451" s="3" t="s">
        <v>1343</v>
      </c>
      <c r="C451" s="28" t="s">
        <v>3677</v>
      </c>
      <c r="D451" s="28" t="s">
        <v>2261</v>
      </c>
      <c r="E451" s="3" t="s">
        <v>3178</v>
      </c>
      <c r="F451" s="27">
        <v>1</v>
      </c>
      <c r="G451" s="28" t="s">
        <v>371</v>
      </c>
      <c r="H451" s="29"/>
    </row>
    <row r="452" spans="1:8" s="22" customFormat="1" ht="15.9" customHeight="1">
      <c r="A452" s="27">
        <v>448</v>
      </c>
      <c r="B452" s="3" t="s">
        <v>1344</v>
      </c>
      <c r="C452" s="28" t="s">
        <v>2262</v>
      </c>
      <c r="D452" s="28" t="s">
        <v>2263</v>
      </c>
      <c r="E452" s="3" t="s">
        <v>3179</v>
      </c>
      <c r="F452" s="27">
        <v>1</v>
      </c>
      <c r="G452" s="28" t="s">
        <v>4335</v>
      </c>
      <c r="H452" s="29"/>
    </row>
    <row r="453" spans="1:8" s="22" customFormat="1" ht="15.9" customHeight="1">
      <c r="A453" s="27">
        <v>449</v>
      </c>
      <c r="B453" s="3" t="s">
        <v>1345</v>
      </c>
      <c r="C453" s="28" t="s">
        <v>3695</v>
      </c>
      <c r="D453" s="28" t="s">
        <v>2264</v>
      </c>
      <c r="E453" s="3" t="s">
        <v>3180</v>
      </c>
      <c r="F453" s="27">
        <v>1</v>
      </c>
      <c r="G453" s="28" t="s">
        <v>371</v>
      </c>
      <c r="H453" s="29"/>
    </row>
    <row r="454" spans="1:8" s="22" customFormat="1" ht="15.9" customHeight="1">
      <c r="A454" s="27">
        <v>450</v>
      </c>
      <c r="B454" s="3" t="s">
        <v>1346</v>
      </c>
      <c r="C454" s="28" t="s">
        <v>371</v>
      </c>
      <c r="D454" s="28" t="s">
        <v>2265</v>
      </c>
      <c r="E454" s="3" t="s">
        <v>3181</v>
      </c>
      <c r="F454" s="27">
        <v>1</v>
      </c>
      <c r="G454" s="28" t="s">
        <v>371</v>
      </c>
      <c r="H454" s="29"/>
    </row>
    <row r="455" spans="1:8" s="22" customFormat="1" ht="15.9" customHeight="1">
      <c r="A455" s="27">
        <v>451</v>
      </c>
      <c r="B455" s="3" t="s">
        <v>4604</v>
      </c>
      <c r="C455" s="28" t="s">
        <v>4605</v>
      </c>
      <c r="D455" s="28" t="s">
        <v>4606</v>
      </c>
      <c r="E455" s="3" t="s">
        <v>4607</v>
      </c>
      <c r="F455" s="27">
        <v>1</v>
      </c>
      <c r="G455" s="28" t="s">
        <v>371</v>
      </c>
      <c r="H455" s="29"/>
    </row>
    <row r="456" spans="1:8" s="22" customFormat="1" ht="15.9" customHeight="1">
      <c r="A456" s="27">
        <v>452</v>
      </c>
      <c r="B456" s="3" t="s">
        <v>1347</v>
      </c>
      <c r="C456" s="28" t="s">
        <v>4608</v>
      </c>
      <c r="D456" s="28" t="s">
        <v>2266</v>
      </c>
      <c r="E456" s="3" t="s">
        <v>3182</v>
      </c>
      <c r="F456" s="27">
        <v>1</v>
      </c>
      <c r="G456" s="28" t="s">
        <v>371</v>
      </c>
      <c r="H456" s="29"/>
    </row>
    <row r="457" spans="1:8" s="22" customFormat="1" ht="15.9" customHeight="1">
      <c r="A457" s="27">
        <v>453</v>
      </c>
      <c r="B457" s="3" t="s">
        <v>1348</v>
      </c>
      <c r="C457" s="28" t="s">
        <v>2262</v>
      </c>
      <c r="D457" s="28" t="s">
        <v>2267</v>
      </c>
      <c r="E457" s="3" t="s">
        <v>3183</v>
      </c>
      <c r="F457" s="27">
        <v>1</v>
      </c>
      <c r="G457" s="28" t="s">
        <v>4335</v>
      </c>
      <c r="H457" s="29"/>
    </row>
    <row r="458" spans="1:8" s="22" customFormat="1" ht="15.9" customHeight="1">
      <c r="A458" s="27">
        <v>454</v>
      </c>
      <c r="B458" s="3" t="s">
        <v>1349</v>
      </c>
      <c r="C458" s="28" t="s">
        <v>3776</v>
      </c>
      <c r="D458" s="28" t="s">
        <v>2268</v>
      </c>
      <c r="E458" s="3" t="s">
        <v>3184</v>
      </c>
      <c r="F458" s="27">
        <v>1</v>
      </c>
      <c r="G458" s="28" t="s">
        <v>371</v>
      </c>
      <c r="H458" s="29"/>
    </row>
    <row r="459" spans="1:8" s="22" customFormat="1" ht="15.9" customHeight="1">
      <c r="A459" s="27">
        <v>455</v>
      </c>
      <c r="B459" s="3" t="s">
        <v>1350</v>
      </c>
      <c r="C459" s="28" t="s">
        <v>3777</v>
      </c>
      <c r="D459" s="28" t="s">
        <v>2269</v>
      </c>
      <c r="E459" s="3" t="s">
        <v>3185</v>
      </c>
      <c r="F459" s="27">
        <v>1</v>
      </c>
      <c r="G459" s="28" t="s">
        <v>371</v>
      </c>
      <c r="H459" s="29"/>
    </row>
    <row r="460" spans="1:8" s="22" customFormat="1" ht="15.9" customHeight="1">
      <c r="A460" s="27">
        <v>456</v>
      </c>
      <c r="B460" s="3" t="s">
        <v>1351</v>
      </c>
      <c r="C460" s="28" t="s">
        <v>3715</v>
      </c>
      <c r="D460" s="28" t="s">
        <v>2270</v>
      </c>
      <c r="E460" s="3" t="s">
        <v>3186</v>
      </c>
      <c r="F460" s="27">
        <v>1</v>
      </c>
      <c r="G460" s="28" t="s">
        <v>371</v>
      </c>
      <c r="H460" s="29"/>
    </row>
    <row r="461" spans="1:8" s="22" customFormat="1" ht="15.9" customHeight="1">
      <c r="A461" s="27">
        <v>457</v>
      </c>
      <c r="B461" s="3" t="s">
        <v>1352</v>
      </c>
      <c r="C461" s="28" t="s">
        <v>4506</v>
      </c>
      <c r="D461" s="28" t="s">
        <v>2271</v>
      </c>
      <c r="E461" s="3" t="s">
        <v>3187</v>
      </c>
      <c r="F461" s="27">
        <v>1</v>
      </c>
      <c r="G461" s="28" t="s">
        <v>371</v>
      </c>
      <c r="H461" s="29"/>
    </row>
    <row r="462" spans="1:8" s="22" customFormat="1" ht="15.9" customHeight="1">
      <c r="A462" s="27">
        <v>458</v>
      </c>
      <c r="B462" s="3" t="s">
        <v>1353</v>
      </c>
      <c r="C462" s="28" t="s">
        <v>371</v>
      </c>
      <c r="D462" s="28" t="s">
        <v>2272</v>
      </c>
      <c r="E462" s="3" t="s">
        <v>3188</v>
      </c>
      <c r="F462" s="27">
        <v>1</v>
      </c>
      <c r="G462" s="28" t="s">
        <v>371</v>
      </c>
      <c r="H462" s="29"/>
    </row>
    <row r="463" spans="1:8" s="22" customFormat="1" ht="15.9" customHeight="1">
      <c r="A463" s="27">
        <v>459</v>
      </c>
      <c r="B463" s="3" t="s">
        <v>1354</v>
      </c>
      <c r="C463" s="28" t="s">
        <v>371</v>
      </c>
      <c r="D463" s="28" t="s">
        <v>2273</v>
      </c>
      <c r="E463" s="3" t="s">
        <v>3189</v>
      </c>
      <c r="F463" s="27">
        <v>1</v>
      </c>
      <c r="G463" s="28" t="s">
        <v>371</v>
      </c>
      <c r="H463" s="29"/>
    </row>
    <row r="464" spans="1:8" s="22" customFormat="1" ht="15.9" customHeight="1">
      <c r="A464" s="27">
        <v>460</v>
      </c>
      <c r="B464" s="3" t="s">
        <v>1355</v>
      </c>
      <c r="C464" s="28" t="s">
        <v>3677</v>
      </c>
      <c r="D464" s="28" t="s">
        <v>2274</v>
      </c>
      <c r="E464" s="3" t="s">
        <v>3190</v>
      </c>
      <c r="F464" s="27">
        <v>1</v>
      </c>
      <c r="G464" s="28" t="s">
        <v>371</v>
      </c>
      <c r="H464" s="29"/>
    </row>
    <row r="465" spans="1:8" s="22" customFormat="1" ht="15.9" customHeight="1">
      <c r="A465" s="27">
        <v>461</v>
      </c>
      <c r="B465" s="3" t="s">
        <v>1356</v>
      </c>
      <c r="C465" s="28" t="s">
        <v>4609</v>
      </c>
      <c r="D465" s="28" t="s">
        <v>2275</v>
      </c>
      <c r="E465" s="3" t="s">
        <v>3191</v>
      </c>
      <c r="F465" s="27">
        <v>1</v>
      </c>
      <c r="G465" s="28" t="s">
        <v>371</v>
      </c>
      <c r="H465" s="29"/>
    </row>
    <row r="466" spans="1:8" s="22" customFormat="1" ht="15.9" customHeight="1">
      <c r="A466" s="27">
        <v>462</v>
      </c>
      <c r="B466" s="3" t="s">
        <v>1357</v>
      </c>
      <c r="C466" s="28" t="s">
        <v>4610</v>
      </c>
      <c r="D466" s="28" t="s">
        <v>2276</v>
      </c>
      <c r="E466" s="3" t="s">
        <v>3192</v>
      </c>
      <c r="F466" s="27">
        <v>1</v>
      </c>
      <c r="G466" s="28" t="s">
        <v>371</v>
      </c>
      <c r="H466" s="29"/>
    </row>
    <row r="467" spans="1:8" s="22" customFormat="1" ht="15.9" customHeight="1">
      <c r="A467" s="27">
        <v>463</v>
      </c>
      <c r="B467" s="3" t="s">
        <v>1358</v>
      </c>
      <c r="C467" s="28" t="s">
        <v>3752</v>
      </c>
      <c r="D467" s="28" t="s">
        <v>2277</v>
      </c>
      <c r="E467" s="3" t="s">
        <v>3193</v>
      </c>
      <c r="F467" s="27">
        <v>1</v>
      </c>
      <c r="G467" s="28" t="s">
        <v>371</v>
      </c>
      <c r="H467" s="29"/>
    </row>
    <row r="468" spans="1:8" s="22" customFormat="1" ht="15.9" customHeight="1">
      <c r="A468" s="27">
        <v>464</v>
      </c>
      <c r="B468" s="3" t="s">
        <v>1359</v>
      </c>
      <c r="C468" s="28" t="s">
        <v>3778</v>
      </c>
      <c r="D468" s="28" t="s">
        <v>2278</v>
      </c>
      <c r="E468" s="3" t="s">
        <v>3194</v>
      </c>
      <c r="F468" s="27">
        <v>1</v>
      </c>
      <c r="G468" s="28" t="s">
        <v>371</v>
      </c>
      <c r="H468" s="29"/>
    </row>
    <row r="469" spans="1:8" s="22" customFormat="1" ht="15.9" customHeight="1">
      <c r="A469" s="27">
        <v>465</v>
      </c>
      <c r="B469" s="3" t="s">
        <v>1360</v>
      </c>
      <c r="C469" s="28" t="s">
        <v>3779</v>
      </c>
      <c r="D469" s="28" t="s">
        <v>2279</v>
      </c>
      <c r="E469" s="3" t="s">
        <v>3195</v>
      </c>
      <c r="F469" s="27">
        <v>1</v>
      </c>
      <c r="G469" s="28" t="s">
        <v>371</v>
      </c>
      <c r="H469" s="29"/>
    </row>
    <row r="470" spans="1:8" s="22" customFormat="1" ht="15.9" customHeight="1">
      <c r="A470" s="27">
        <v>466</v>
      </c>
      <c r="B470" s="3" t="s">
        <v>1361</v>
      </c>
      <c r="C470" s="28" t="s">
        <v>371</v>
      </c>
      <c r="D470" s="28" t="s">
        <v>2280</v>
      </c>
      <c r="E470" s="3" t="s">
        <v>3196</v>
      </c>
      <c r="F470" s="27">
        <v>1</v>
      </c>
      <c r="G470" s="28" t="s">
        <v>371</v>
      </c>
      <c r="H470" s="29"/>
    </row>
    <row r="471" spans="1:8" s="22" customFormat="1" ht="15.9" customHeight="1">
      <c r="A471" s="27">
        <v>467</v>
      </c>
      <c r="B471" s="3" t="s">
        <v>1362</v>
      </c>
      <c r="C471" s="28" t="s">
        <v>3677</v>
      </c>
      <c r="D471" s="28" t="s">
        <v>2281</v>
      </c>
      <c r="E471" s="3" t="s">
        <v>3197</v>
      </c>
      <c r="F471" s="27">
        <v>1</v>
      </c>
      <c r="G471" s="28" t="s">
        <v>371</v>
      </c>
      <c r="H471" s="29"/>
    </row>
    <row r="472" spans="1:8" s="22" customFormat="1" ht="15.9" customHeight="1">
      <c r="A472" s="27">
        <v>468</v>
      </c>
      <c r="B472" s="3" t="s">
        <v>1363</v>
      </c>
      <c r="C472" s="28" t="s">
        <v>4611</v>
      </c>
      <c r="D472" s="28" t="s">
        <v>2282</v>
      </c>
      <c r="E472" s="3" t="s">
        <v>3198</v>
      </c>
      <c r="F472" s="27">
        <v>1</v>
      </c>
      <c r="G472" s="28" t="s">
        <v>371</v>
      </c>
      <c r="H472" s="29"/>
    </row>
    <row r="473" spans="1:8" s="22" customFormat="1" ht="15.9" customHeight="1">
      <c r="A473" s="27">
        <v>469</v>
      </c>
      <c r="B473" s="3" t="s">
        <v>1364</v>
      </c>
      <c r="C473" s="28" t="s">
        <v>3780</v>
      </c>
      <c r="D473" s="28" t="s">
        <v>2283</v>
      </c>
      <c r="E473" s="3" t="s">
        <v>3199</v>
      </c>
      <c r="F473" s="27">
        <v>1</v>
      </c>
      <c r="G473" s="28" t="s">
        <v>371</v>
      </c>
      <c r="H473" s="29"/>
    </row>
    <row r="474" spans="1:8" s="22" customFormat="1" ht="15.9" customHeight="1">
      <c r="A474" s="27">
        <v>470</v>
      </c>
      <c r="B474" s="3" t="s">
        <v>1365</v>
      </c>
      <c r="C474" s="28" t="s">
        <v>371</v>
      </c>
      <c r="D474" s="28" t="s">
        <v>2284</v>
      </c>
      <c r="E474" s="3" t="s">
        <v>3200</v>
      </c>
      <c r="F474" s="27">
        <v>1</v>
      </c>
      <c r="G474" s="28" t="s">
        <v>371</v>
      </c>
      <c r="H474" s="29"/>
    </row>
    <row r="475" spans="1:8" s="22" customFormat="1" ht="15.9" customHeight="1">
      <c r="A475" s="27">
        <v>471</v>
      </c>
      <c r="B475" s="3" t="s">
        <v>1366</v>
      </c>
      <c r="C475" s="28" t="s">
        <v>118</v>
      </c>
      <c r="D475" s="28" t="s">
        <v>2285</v>
      </c>
      <c r="E475" s="3" t="s">
        <v>3201</v>
      </c>
      <c r="F475" s="27">
        <v>1</v>
      </c>
      <c r="G475" s="28" t="s">
        <v>371</v>
      </c>
      <c r="H475" s="29"/>
    </row>
    <row r="476" spans="1:8" s="22" customFormat="1" ht="15.9" customHeight="1">
      <c r="A476" s="27">
        <v>472</v>
      </c>
      <c r="B476" s="3" t="s">
        <v>4612</v>
      </c>
      <c r="C476" s="28" t="s">
        <v>4613</v>
      </c>
      <c r="D476" s="28" t="s">
        <v>4614</v>
      </c>
      <c r="E476" s="3" t="s">
        <v>4615</v>
      </c>
      <c r="F476" s="27">
        <v>1</v>
      </c>
      <c r="G476" s="28" t="s">
        <v>371</v>
      </c>
      <c r="H476" s="29"/>
    </row>
    <row r="477" spans="1:8" s="22" customFormat="1" ht="15.9" customHeight="1">
      <c r="A477" s="27">
        <v>473</v>
      </c>
      <c r="B477" s="3" t="s">
        <v>1367</v>
      </c>
      <c r="C477" s="28" t="s">
        <v>3781</v>
      </c>
      <c r="D477" s="28" t="s">
        <v>2286</v>
      </c>
      <c r="E477" s="3" t="s">
        <v>3202</v>
      </c>
      <c r="F477" s="27">
        <v>1</v>
      </c>
      <c r="G477" s="28" t="s">
        <v>371</v>
      </c>
      <c r="H477" s="29"/>
    </row>
    <row r="478" spans="1:8" s="22" customFormat="1" ht="15.9" customHeight="1">
      <c r="A478" s="27">
        <v>474</v>
      </c>
      <c r="B478" s="3" t="s">
        <v>1368</v>
      </c>
      <c r="C478" s="28" t="s">
        <v>4940</v>
      </c>
      <c r="D478" s="28" t="s">
        <v>2287</v>
      </c>
      <c r="E478" s="3" t="s">
        <v>3203</v>
      </c>
      <c r="F478" s="27">
        <v>1</v>
      </c>
      <c r="G478" s="28" t="s">
        <v>371</v>
      </c>
      <c r="H478" s="29"/>
    </row>
    <row r="479" spans="1:8" s="22" customFormat="1" ht="15.9" customHeight="1">
      <c r="A479" s="27">
        <v>475</v>
      </c>
      <c r="B479" s="3" t="s">
        <v>4616</v>
      </c>
      <c r="C479" s="28" t="s">
        <v>1976</v>
      </c>
      <c r="D479" s="28" t="s">
        <v>4617</v>
      </c>
      <c r="E479" s="3" t="s">
        <v>4618</v>
      </c>
      <c r="F479" s="27">
        <v>1</v>
      </c>
      <c r="G479" s="28" t="s">
        <v>371</v>
      </c>
      <c r="H479" s="29"/>
    </row>
    <row r="480" spans="1:8" s="22" customFormat="1" ht="15.9" customHeight="1">
      <c r="A480" s="27">
        <v>476</v>
      </c>
      <c r="B480" s="3" t="s">
        <v>4619</v>
      </c>
      <c r="C480" s="28" t="s">
        <v>4620</v>
      </c>
      <c r="D480" s="28" t="s">
        <v>4621</v>
      </c>
      <c r="E480" s="3" t="s">
        <v>4622</v>
      </c>
      <c r="F480" s="27">
        <v>1</v>
      </c>
      <c r="G480" s="28" t="s">
        <v>371</v>
      </c>
      <c r="H480" s="29"/>
    </row>
    <row r="481" spans="1:8" s="22" customFormat="1" ht="15.9" customHeight="1">
      <c r="A481" s="27">
        <v>477</v>
      </c>
      <c r="B481" s="3" t="s">
        <v>1369</v>
      </c>
      <c r="C481" s="28" t="s">
        <v>3782</v>
      </c>
      <c r="D481" s="28" t="s">
        <v>2288</v>
      </c>
      <c r="E481" s="3" t="s">
        <v>3204</v>
      </c>
      <c r="F481" s="27">
        <v>1</v>
      </c>
      <c r="G481" s="28" t="s">
        <v>371</v>
      </c>
      <c r="H481" s="29"/>
    </row>
    <row r="482" spans="1:8" s="22" customFormat="1" ht="15.9" customHeight="1">
      <c r="A482" s="27">
        <v>478</v>
      </c>
      <c r="B482" s="3" t="s">
        <v>1370</v>
      </c>
      <c r="C482" s="28" t="s">
        <v>371</v>
      </c>
      <c r="D482" s="28" t="s">
        <v>2289</v>
      </c>
      <c r="E482" s="3" t="s">
        <v>3205</v>
      </c>
      <c r="F482" s="27">
        <v>1</v>
      </c>
      <c r="G482" s="28" t="s">
        <v>371</v>
      </c>
      <c r="H482" s="29"/>
    </row>
    <row r="483" spans="1:8" s="22" customFormat="1" ht="15.9" customHeight="1">
      <c r="A483" s="27">
        <v>479</v>
      </c>
      <c r="B483" s="3" t="s">
        <v>1371</v>
      </c>
      <c r="C483" s="28" t="s">
        <v>3783</v>
      </c>
      <c r="D483" s="28" t="s">
        <v>2290</v>
      </c>
      <c r="E483" s="3" t="s">
        <v>3206</v>
      </c>
      <c r="F483" s="27">
        <v>1</v>
      </c>
      <c r="G483" s="28" t="s">
        <v>371</v>
      </c>
      <c r="H483" s="29"/>
    </row>
    <row r="484" spans="1:8" s="22" customFormat="1" ht="15.9" customHeight="1">
      <c r="A484" s="27">
        <v>480</v>
      </c>
      <c r="B484" s="3" t="s">
        <v>1372</v>
      </c>
      <c r="C484" s="28" t="s">
        <v>4623</v>
      </c>
      <c r="D484" s="28" t="s">
        <v>2291</v>
      </c>
      <c r="E484" s="3" t="s">
        <v>3207</v>
      </c>
      <c r="F484" s="27">
        <v>1</v>
      </c>
      <c r="G484" s="28" t="s">
        <v>371</v>
      </c>
      <c r="H484" s="29"/>
    </row>
    <row r="485" spans="1:8" s="22" customFormat="1" ht="15.9" customHeight="1">
      <c r="A485" s="27">
        <v>481</v>
      </c>
      <c r="B485" s="3" t="s">
        <v>1373</v>
      </c>
      <c r="C485" s="28" t="s">
        <v>3784</v>
      </c>
      <c r="D485" s="28" t="s">
        <v>2292</v>
      </c>
      <c r="E485" s="3" t="s">
        <v>3208</v>
      </c>
      <c r="F485" s="27">
        <v>1</v>
      </c>
      <c r="G485" s="28" t="s">
        <v>371</v>
      </c>
      <c r="H485" s="29"/>
    </row>
    <row r="486" spans="1:8" s="22" customFormat="1" ht="15.9" customHeight="1">
      <c r="A486" s="27">
        <v>482</v>
      </c>
      <c r="B486" s="3" t="s">
        <v>1374</v>
      </c>
      <c r="C486" s="28" t="s">
        <v>3785</v>
      </c>
      <c r="D486" s="28" t="s">
        <v>2293</v>
      </c>
      <c r="E486" s="3" t="s">
        <v>3209</v>
      </c>
      <c r="F486" s="27">
        <v>1</v>
      </c>
      <c r="G486" s="28" t="s">
        <v>371</v>
      </c>
      <c r="H486" s="29"/>
    </row>
    <row r="487" spans="1:8" s="22" customFormat="1" ht="15.9" customHeight="1">
      <c r="A487" s="27">
        <v>483</v>
      </c>
      <c r="B487" s="3" t="s">
        <v>1375</v>
      </c>
      <c r="C487" s="28" t="s">
        <v>4942</v>
      </c>
      <c r="D487" s="28" t="s">
        <v>2294</v>
      </c>
      <c r="E487" s="3" t="s">
        <v>3210</v>
      </c>
      <c r="F487" s="27">
        <v>1</v>
      </c>
      <c r="G487" s="28" t="s">
        <v>371</v>
      </c>
      <c r="H487" s="29"/>
    </row>
    <row r="488" spans="1:8" s="22" customFormat="1" ht="15.9" customHeight="1">
      <c r="A488" s="27">
        <v>484</v>
      </c>
      <c r="B488" s="3" t="s">
        <v>4624</v>
      </c>
      <c r="C488" s="28" t="s">
        <v>371</v>
      </c>
      <c r="D488" s="28" t="s">
        <v>4625</v>
      </c>
      <c r="E488" s="3" t="s">
        <v>4626</v>
      </c>
      <c r="F488" s="27">
        <v>1</v>
      </c>
      <c r="G488" s="28" t="s">
        <v>371</v>
      </c>
      <c r="H488" s="29"/>
    </row>
    <row r="489" spans="1:8" s="22" customFormat="1" ht="15.9" customHeight="1">
      <c r="A489" s="27">
        <v>485</v>
      </c>
      <c r="B489" s="3" t="s">
        <v>1376</v>
      </c>
      <c r="C489" s="28" t="s">
        <v>3786</v>
      </c>
      <c r="D489" s="28" t="s">
        <v>2295</v>
      </c>
      <c r="E489" s="3" t="s">
        <v>3211</v>
      </c>
      <c r="F489" s="27">
        <v>1</v>
      </c>
      <c r="G489" s="28" t="s">
        <v>371</v>
      </c>
      <c r="H489" s="29"/>
    </row>
    <row r="490" spans="1:8" s="22" customFormat="1" ht="15.9" customHeight="1">
      <c r="A490" s="27">
        <v>486</v>
      </c>
      <c r="B490" s="3" t="s">
        <v>1377</v>
      </c>
      <c r="C490" s="28" t="s">
        <v>371</v>
      </c>
      <c r="D490" s="28" t="s">
        <v>2296</v>
      </c>
      <c r="E490" s="3" t="s">
        <v>3212</v>
      </c>
      <c r="F490" s="27">
        <v>1</v>
      </c>
      <c r="G490" s="28" t="s">
        <v>371</v>
      </c>
      <c r="H490" s="29"/>
    </row>
    <row r="491" spans="1:8" s="22" customFormat="1" ht="15.9" customHeight="1">
      <c r="A491" s="27">
        <v>487</v>
      </c>
      <c r="B491" s="3" t="s">
        <v>1378</v>
      </c>
      <c r="C491" s="28" t="s">
        <v>3691</v>
      </c>
      <c r="D491" s="28" t="s">
        <v>2297</v>
      </c>
      <c r="E491" s="3" t="s">
        <v>3213</v>
      </c>
      <c r="F491" s="27">
        <v>1</v>
      </c>
      <c r="G491" s="28" t="s">
        <v>371</v>
      </c>
      <c r="H491" s="29"/>
    </row>
    <row r="492" spans="1:8" s="22" customFormat="1" ht="15.9" customHeight="1">
      <c r="A492" s="27">
        <v>488</v>
      </c>
      <c r="B492" s="3" t="s">
        <v>1379</v>
      </c>
      <c r="C492" s="28" t="s">
        <v>3787</v>
      </c>
      <c r="D492" s="28" t="s">
        <v>2298</v>
      </c>
      <c r="E492" s="3" t="s">
        <v>3214</v>
      </c>
      <c r="F492" s="27">
        <v>1</v>
      </c>
      <c r="G492" s="28" t="s">
        <v>371</v>
      </c>
      <c r="H492" s="29"/>
    </row>
    <row r="493" spans="1:8" s="22" customFormat="1" ht="15.9" customHeight="1">
      <c r="A493" s="27">
        <v>489</v>
      </c>
      <c r="B493" s="3" t="s">
        <v>1380</v>
      </c>
      <c r="C493" s="28" t="s">
        <v>4627</v>
      </c>
      <c r="D493" s="28" t="s">
        <v>2299</v>
      </c>
      <c r="E493" s="3" t="s">
        <v>3215</v>
      </c>
      <c r="F493" s="27">
        <v>1</v>
      </c>
      <c r="G493" s="28" t="s">
        <v>371</v>
      </c>
      <c r="H493" s="29"/>
    </row>
    <row r="494" spans="1:8" s="22" customFormat="1" ht="15.9" customHeight="1">
      <c r="A494" s="27">
        <v>490</v>
      </c>
      <c r="B494" s="3" t="s">
        <v>4628</v>
      </c>
      <c r="C494" s="28" t="s">
        <v>3697</v>
      </c>
      <c r="D494" s="28" t="s">
        <v>4629</v>
      </c>
      <c r="E494" s="3" t="s">
        <v>4630</v>
      </c>
      <c r="F494" s="27">
        <v>1</v>
      </c>
      <c r="G494" s="28" t="s">
        <v>371</v>
      </c>
      <c r="H494" s="29"/>
    </row>
    <row r="495" spans="1:8" s="22" customFormat="1" ht="15.9" customHeight="1">
      <c r="A495" s="27">
        <v>491</v>
      </c>
      <c r="B495" s="3" t="s">
        <v>1381</v>
      </c>
      <c r="C495" s="28" t="s">
        <v>371</v>
      </c>
      <c r="D495" s="28" t="s">
        <v>2300</v>
      </c>
      <c r="E495" s="3" t="s">
        <v>3216</v>
      </c>
      <c r="F495" s="27">
        <v>1</v>
      </c>
      <c r="G495" s="28" t="s">
        <v>371</v>
      </c>
      <c r="H495" s="29"/>
    </row>
    <row r="496" spans="1:8" s="22" customFormat="1" ht="15.9" customHeight="1">
      <c r="A496" s="27">
        <v>492</v>
      </c>
      <c r="B496" s="3" t="s">
        <v>4631</v>
      </c>
      <c r="C496" s="28" t="s">
        <v>4556</v>
      </c>
      <c r="D496" s="28" t="s">
        <v>4632</v>
      </c>
      <c r="E496" s="3" t="s">
        <v>4633</v>
      </c>
      <c r="F496" s="27">
        <v>1</v>
      </c>
      <c r="G496" s="28" t="s">
        <v>4335</v>
      </c>
      <c r="H496" s="29"/>
    </row>
    <row r="497" spans="1:8" s="22" customFormat="1" ht="15.9" customHeight="1">
      <c r="A497" s="27">
        <v>493</v>
      </c>
      <c r="B497" s="3" t="s">
        <v>4634</v>
      </c>
      <c r="C497" s="28" t="s">
        <v>3677</v>
      </c>
      <c r="D497" s="28" t="s">
        <v>4635</v>
      </c>
      <c r="E497" s="3" t="s">
        <v>4636</v>
      </c>
      <c r="F497" s="27">
        <v>1</v>
      </c>
      <c r="G497" s="28" t="s">
        <v>371</v>
      </c>
      <c r="H497" s="29"/>
    </row>
    <row r="498" spans="1:8" s="22" customFormat="1" ht="15.9" customHeight="1">
      <c r="A498" s="27">
        <v>494</v>
      </c>
      <c r="B498" s="3" t="s">
        <v>1382</v>
      </c>
      <c r="C498" s="28" t="s">
        <v>371</v>
      </c>
      <c r="D498" s="28" t="s">
        <v>2301</v>
      </c>
      <c r="E498" s="3" t="s">
        <v>3217</v>
      </c>
      <c r="F498" s="27">
        <v>1</v>
      </c>
      <c r="G498" s="28" t="s">
        <v>371</v>
      </c>
      <c r="H498" s="29"/>
    </row>
    <row r="499" spans="1:8" s="22" customFormat="1" ht="15.9" customHeight="1">
      <c r="A499" s="27">
        <v>495</v>
      </c>
      <c r="B499" s="3" t="s">
        <v>1383</v>
      </c>
      <c r="C499" s="28" t="s">
        <v>371</v>
      </c>
      <c r="D499" s="28" t="s">
        <v>2302</v>
      </c>
      <c r="E499" s="3" t="s">
        <v>3218</v>
      </c>
      <c r="F499" s="27">
        <v>1</v>
      </c>
      <c r="G499" s="28" t="s">
        <v>371</v>
      </c>
      <c r="H499" s="29"/>
    </row>
    <row r="500" spans="1:8" s="22" customFormat="1" ht="15.9" customHeight="1">
      <c r="A500" s="27">
        <v>496</v>
      </c>
      <c r="B500" s="3" t="s">
        <v>1384</v>
      </c>
      <c r="C500" s="28" t="s">
        <v>371</v>
      </c>
      <c r="D500" s="28" t="s">
        <v>2303</v>
      </c>
      <c r="E500" s="3" t="s">
        <v>3219</v>
      </c>
      <c r="F500" s="27">
        <v>1</v>
      </c>
      <c r="G500" s="28" t="s">
        <v>371</v>
      </c>
      <c r="H500" s="29"/>
    </row>
    <row r="501" spans="1:8" s="22" customFormat="1" ht="15.9" customHeight="1">
      <c r="A501" s="27">
        <v>497</v>
      </c>
      <c r="B501" s="3" t="s">
        <v>1385</v>
      </c>
      <c r="C501" s="28" t="s">
        <v>371</v>
      </c>
      <c r="D501" s="28" t="s">
        <v>2304</v>
      </c>
      <c r="E501" s="3" t="s">
        <v>3220</v>
      </c>
      <c r="F501" s="27">
        <v>1</v>
      </c>
      <c r="G501" s="28" t="s">
        <v>371</v>
      </c>
      <c r="H501" s="29"/>
    </row>
    <row r="502" spans="1:8" s="22" customFormat="1" ht="15.9" customHeight="1">
      <c r="A502" s="27">
        <v>498</v>
      </c>
      <c r="B502" s="3" t="s">
        <v>1386</v>
      </c>
      <c r="C502" s="28" t="s">
        <v>371</v>
      </c>
      <c r="D502" s="28" t="s">
        <v>2305</v>
      </c>
      <c r="E502" s="3" t="s">
        <v>3221</v>
      </c>
      <c r="F502" s="27">
        <v>1</v>
      </c>
      <c r="G502" s="28" t="s">
        <v>371</v>
      </c>
      <c r="H502" s="29"/>
    </row>
    <row r="503" spans="1:8" s="22" customFormat="1" ht="15.9" customHeight="1">
      <c r="A503" s="27">
        <v>499</v>
      </c>
      <c r="B503" s="3" t="s">
        <v>1387</v>
      </c>
      <c r="C503" s="28" t="s">
        <v>371</v>
      </c>
      <c r="D503" s="28" t="s">
        <v>2306</v>
      </c>
      <c r="E503" s="3" t="s">
        <v>3222</v>
      </c>
      <c r="F503" s="27">
        <v>1</v>
      </c>
      <c r="G503" s="28" t="s">
        <v>371</v>
      </c>
      <c r="H503" s="29"/>
    </row>
    <row r="504" spans="1:8" s="22" customFormat="1" ht="15.9" customHeight="1">
      <c r="A504" s="27">
        <v>500</v>
      </c>
      <c r="B504" s="3" t="s">
        <v>1388</v>
      </c>
      <c r="C504" s="28" t="s">
        <v>371</v>
      </c>
      <c r="D504" s="28" t="s">
        <v>2307</v>
      </c>
      <c r="E504" s="3" t="s">
        <v>3223</v>
      </c>
      <c r="F504" s="27">
        <v>1</v>
      </c>
      <c r="G504" s="28" t="s">
        <v>371</v>
      </c>
      <c r="H504" s="29"/>
    </row>
    <row r="505" spans="1:8" s="22" customFormat="1" ht="15.9" customHeight="1">
      <c r="A505" s="27">
        <v>501</v>
      </c>
      <c r="B505" s="3" t="s">
        <v>4637</v>
      </c>
      <c r="C505" s="28" t="s">
        <v>4638</v>
      </c>
      <c r="D505" s="28" t="s">
        <v>4639</v>
      </c>
      <c r="E505" s="3" t="s">
        <v>4640</v>
      </c>
      <c r="F505" s="27">
        <v>2</v>
      </c>
      <c r="G505" s="28" t="s">
        <v>4335</v>
      </c>
      <c r="H505" s="29"/>
    </row>
    <row r="506" spans="1:8" s="22" customFormat="1" ht="15.9" customHeight="1">
      <c r="A506" s="27">
        <v>502</v>
      </c>
      <c r="B506" s="3" t="s">
        <v>1389</v>
      </c>
      <c r="C506" s="28" t="s">
        <v>371</v>
      </c>
      <c r="D506" s="28" t="s">
        <v>2308</v>
      </c>
      <c r="E506" s="3" t="s">
        <v>3224</v>
      </c>
      <c r="F506" s="27">
        <v>1</v>
      </c>
      <c r="G506" s="28" t="s">
        <v>371</v>
      </c>
      <c r="H506" s="29"/>
    </row>
    <row r="507" spans="1:8" s="22" customFormat="1" ht="15.9" customHeight="1">
      <c r="A507" s="27">
        <v>503</v>
      </c>
      <c r="B507" s="3" t="s">
        <v>1390</v>
      </c>
      <c r="C507" s="28" t="s">
        <v>4641</v>
      </c>
      <c r="D507" s="28" t="s">
        <v>2309</v>
      </c>
      <c r="E507" s="3" t="s">
        <v>3225</v>
      </c>
      <c r="F507" s="27">
        <v>1</v>
      </c>
      <c r="G507" s="28" t="s">
        <v>4335</v>
      </c>
      <c r="H507" s="29"/>
    </row>
    <row r="508" spans="1:8" s="22" customFormat="1" ht="15.9" customHeight="1">
      <c r="A508" s="27">
        <v>504</v>
      </c>
      <c r="B508" s="3" t="s">
        <v>1391</v>
      </c>
      <c r="C508" s="28" t="s">
        <v>371</v>
      </c>
      <c r="D508" s="28" t="s">
        <v>2310</v>
      </c>
      <c r="E508" s="3" t="s">
        <v>3226</v>
      </c>
      <c r="F508" s="27">
        <v>1</v>
      </c>
      <c r="G508" s="28" t="s">
        <v>371</v>
      </c>
      <c r="H508" s="29"/>
    </row>
    <row r="509" spans="1:8" s="22" customFormat="1" ht="15.9" customHeight="1">
      <c r="A509" s="27">
        <v>505</v>
      </c>
      <c r="B509" s="3" t="s">
        <v>1392</v>
      </c>
      <c r="C509" s="28" t="s">
        <v>371</v>
      </c>
      <c r="D509" s="28" t="s">
        <v>2311</v>
      </c>
      <c r="E509" s="3" t="s">
        <v>3227</v>
      </c>
      <c r="F509" s="27">
        <v>1</v>
      </c>
      <c r="G509" s="28" t="s">
        <v>371</v>
      </c>
      <c r="H509" s="29"/>
    </row>
    <row r="510" spans="1:8" s="22" customFormat="1" ht="15.9" customHeight="1">
      <c r="A510" s="27">
        <v>506</v>
      </c>
      <c r="B510" s="3" t="s">
        <v>1393</v>
      </c>
      <c r="C510" s="28" t="s">
        <v>371</v>
      </c>
      <c r="D510" s="28" t="s">
        <v>2312</v>
      </c>
      <c r="E510" s="3" t="s">
        <v>3228</v>
      </c>
      <c r="F510" s="27">
        <v>1</v>
      </c>
      <c r="G510" s="28" t="s">
        <v>371</v>
      </c>
      <c r="H510" s="29"/>
    </row>
    <row r="511" spans="1:8" s="22" customFormat="1" ht="15.9" customHeight="1">
      <c r="A511" s="27">
        <v>507</v>
      </c>
      <c r="B511" s="3" t="s">
        <v>1394</v>
      </c>
      <c r="C511" s="28" t="s">
        <v>371</v>
      </c>
      <c r="D511" s="28" t="s">
        <v>2313</v>
      </c>
      <c r="E511" s="3" t="s">
        <v>3229</v>
      </c>
      <c r="F511" s="27">
        <v>1</v>
      </c>
      <c r="G511" s="28" t="s">
        <v>371</v>
      </c>
      <c r="H511" s="29"/>
    </row>
    <row r="512" spans="1:8" s="22" customFormat="1" ht="15.9" customHeight="1">
      <c r="A512" s="27">
        <v>508</v>
      </c>
      <c r="B512" s="3" t="s">
        <v>1395</v>
      </c>
      <c r="C512" s="28" t="s">
        <v>371</v>
      </c>
      <c r="D512" s="28" t="s">
        <v>2314</v>
      </c>
      <c r="E512" s="3" t="s">
        <v>3230</v>
      </c>
      <c r="F512" s="27">
        <v>1</v>
      </c>
      <c r="G512" s="28" t="s">
        <v>371</v>
      </c>
      <c r="H512" s="29"/>
    </row>
    <row r="513" spans="1:8" s="22" customFormat="1" ht="15.9" customHeight="1">
      <c r="A513" s="27">
        <v>509</v>
      </c>
      <c r="B513" s="3" t="s">
        <v>1396</v>
      </c>
      <c r="C513" s="28" t="s">
        <v>371</v>
      </c>
      <c r="D513" s="28" t="s">
        <v>2315</v>
      </c>
      <c r="E513" s="3" t="s">
        <v>3231</v>
      </c>
      <c r="F513" s="27">
        <v>1</v>
      </c>
      <c r="G513" s="28" t="s">
        <v>371</v>
      </c>
      <c r="H513" s="29"/>
    </row>
    <row r="514" spans="1:8" s="22" customFormat="1" ht="15.9" customHeight="1">
      <c r="A514" s="27">
        <v>510</v>
      </c>
      <c r="B514" s="3" t="s">
        <v>1397</v>
      </c>
      <c r="C514" s="28" t="s">
        <v>371</v>
      </c>
      <c r="D514" s="28" t="s">
        <v>2316</v>
      </c>
      <c r="E514" s="3" t="s">
        <v>3232</v>
      </c>
      <c r="F514" s="27">
        <v>1</v>
      </c>
      <c r="G514" s="28" t="s">
        <v>371</v>
      </c>
      <c r="H514" s="29"/>
    </row>
    <row r="515" spans="1:8" s="22" customFormat="1" ht="15.9" customHeight="1">
      <c r="A515" s="27">
        <v>511</v>
      </c>
      <c r="B515" s="3" t="s">
        <v>4642</v>
      </c>
      <c r="C515" s="28" t="s">
        <v>4638</v>
      </c>
      <c r="D515" s="28" t="s">
        <v>4643</v>
      </c>
      <c r="E515" s="3" t="s">
        <v>4644</v>
      </c>
      <c r="F515" s="27">
        <v>2</v>
      </c>
      <c r="G515" s="28" t="s">
        <v>4335</v>
      </c>
      <c r="H515" s="29"/>
    </row>
    <row r="516" spans="1:8" s="22" customFormat="1" ht="15.9" customHeight="1">
      <c r="A516" s="27">
        <v>512</v>
      </c>
      <c r="B516" s="3" t="s">
        <v>1398</v>
      </c>
      <c r="C516" s="28" t="s">
        <v>371</v>
      </c>
      <c r="D516" s="28" t="s">
        <v>2317</v>
      </c>
      <c r="E516" s="3" t="s">
        <v>3233</v>
      </c>
      <c r="F516" s="27">
        <v>1</v>
      </c>
      <c r="G516" s="28" t="s">
        <v>371</v>
      </c>
      <c r="H516" s="29"/>
    </row>
    <row r="517" spans="1:8" s="22" customFormat="1" ht="15.9" customHeight="1">
      <c r="A517" s="27">
        <v>513</v>
      </c>
      <c r="B517" s="3" t="s">
        <v>1399</v>
      </c>
      <c r="C517" s="28" t="s">
        <v>371</v>
      </c>
      <c r="D517" s="28" t="s">
        <v>2318</v>
      </c>
      <c r="E517" s="3" t="s">
        <v>3234</v>
      </c>
      <c r="F517" s="27">
        <v>1</v>
      </c>
      <c r="G517" s="28" t="s">
        <v>371</v>
      </c>
      <c r="H517" s="29"/>
    </row>
    <row r="518" spans="1:8" s="22" customFormat="1" ht="15.9" customHeight="1">
      <c r="A518" s="27">
        <v>514</v>
      </c>
      <c r="B518" s="3" t="s">
        <v>1400</v>
      </c>
      <c r="C518" s="28" t="s">
        <v>371</v>
      </c>
      <c r="D518" s="28" t="s">
        <v>2319</v>
      </c>
      <c r="E518" s="3" t="s">
        <v>3235</v>
      </c>
      <c r="F518" s="27">
        <v>1</v>
      </c>
      <c r="G518" s="28" t="s">
        <v>371</v>
      </c>
      <c r="H518" s="29"/>
    </row>
    <row r="519" spans="1:8" s="22" customFormat="1" ht="15.9" customHeight="1">
      <c r="A519" s="27">
        <v>515</v>
      </c>
      <c r="B519" s="3" t="s">
        <v>1401</v>
      </c>
      <c r="C519" s="28" t="s">
        <v>371</v>
      </c>
      <c r="D519" s="28" t="s">
        <v>2320</v>
      </c>
      <c r="E519" s="3" t="s">
        <v>3236</v>
      </c>
      <c r="F519" s="27">
        <v>1</v>
      </c>
      <c r="G519" s="28" t="s">
        <v>371</v>
      </c>
      <c r="H519" s="29"/>
    </row>
    <row r="520" spans="1:8" s="22" customFormat="1" ht="15.9" customHeight="1">
      <c r="A520" s="27">
        <v>516</v>
      </c>
      <c r="B520" s="3" t="s">
        <v>1402</v>
      </c>
      <c r="C520" s="28" t="s">
        <v>371</v>
      </c>
      <c r="D520" s="28" t="s">
        <v>2321</v>
      </c>
      <c r="E520" s="3" t="s">
        <v>3237</v>
      </c>
      <c r="F520" s="27">
        <v>1</v>
      </c>
      <c r="G520" s="28" t="s">
        <v>371</v>
      </c>
      <c r="H520" s="29"/>
    </row>
    <row r="521" spans="1:8" s="22" customFormat="1" ht="15.9" customHeight="1">
      <c r="A521" s="27">
        <v>517</v>
      </c>
      <c r="B521" s="3" t="s">
        <v>1403</v>
      </c>
      <c r="C521" s="28" t="s">
        <v>371</v>
      </c>
      <c r="D521" s="28" t="s">
        <v>2322</v>
      </c>
      <c r="E521" s="3" t="s">
        <v>3238</v>
      </c>
      <c r="F521" s="27">
        <v>1</v>
      </c>
      <c r="G521" s="28" t="s">
        <v>371</v>
      </c>
      <c r="H521" s="29"/>
    </row>
    <row r="522" spans="1:8" s="22" customFormat="1" ht="15.9" customHeight="1">
      <c r="A522" s="27">
        <v>518</v>
      </c>
      <c r="B522" s="3" t="s">
        <v>1404</v>
      </c>
      <c r="C522" s="28" t="s">
        <v>371</v>
      </c>
      <c r="D522" s="28" t="s">
        <v>2323</v>
      </c>
      <c r="E522" s="3" t="s">
        <v>3239</v>
      </c>
      <c r="F522" s="27">
        <v>1</v>
      </c>
      <c r="G522" s="28" t="s">
        <v>371</v>
      </c>
      <c r="H522" s="29"/>
    </row>
    <row r="523" spans="1:8" s="22" customFormat="1" ht="15.9" customHeight="1">
      <c r="A523" s="27">
        <v>519</v>
      </c>
      <c r="B523" s="3" t="s">
        <v>1405</v>
      </c>
      <c r="C523" s="28" t="s">
        <v>371</v>
      </c>
      <c r="D523" s="28" t="s">
        <v>2324</v>
      </c>
      <c r="E523" s="3" t="s">
        <v>3240</v>
      </c>
      <c r="F523" s="27">
        <v>1</v>
      </c>
      <c r="G523" s="28" t="s">
        <v>371</v>
      </c>
      <c r="H523" s="29"/>
    </row>
    <row r="524" spans="1:8" s="22" customFormat="1" ht="15.9" customHeight="1">
      <c r="A524" s="27">
        <v>520</v>
      </c>
      <c r="B524" s="3" t="s">
        <v>1406</v>
      </c>
      <c r="C524" s="28" t="s">
        <v>371</v>
      </c>
      <c r="D524" s="28" t="s">
        <v>2325</v>
      </c>
      <c r="E524" s="3" t="s">
        <v>3241</v>
      </c>
      <c r="F524" s="27">
        <v>1</v>
      </c>
      <c r="G524" s="28" t="s">
        <v>371</v>
      </c>
      <c r="H524" s="29"/>
    </row>
    <row r="525" spans="1:8" s="22" customFormat="1" ht="15.9" customHeight="1">
      <c r="A525" s="27">
        <v>521</v>
      </c>
      <c r="B525" s="3" t="s">
        <v>1407</v>
      </c>
      <c r="C525" s="28" t="s">
        <v>371</v>
      </c>
      <c r="D525" s="28" t="s">
        <v>2326</v>
      </c>
      <c r="E525" s="3" t="s">
        <v>3242</v>
      </c>
      <c r="F525" s="27">
        <v>1</v>
      </c>
      <c r="G525" s="28" t="s">
        <v>371</v>
      </c>
      <c r="H525" s="29"/>
    </row>
    <row r="526" spans="1:8" s="22" customFormat="1" ht="15.9" customHeight="1">
      <c r="A526" s="27">
        <v>522</v>
      </c>
      <c r="B526" s="3" t="s">
        <v>4645</v>
      </c>
      <c r="C526" s="28" t="s">
        <v>4646</v>
      </c>
      <c r="D526" s="28" t="s">
        <v>4647</v>
      </c>
      <c r="E526" s="3" t="s">
        <v>4648</v>
      </c>
      <c r="F526" s="27">
        <v>1</v>
      </c>
      <c r="G526" s="28" t="s">
        <v>4335</v>
      </c>
      <c r="H526" s="29"/>
    </row>
    <row r="527" spans="1:8" s="22" customFormat="1" ht="15.9" customHeight="1">
      <c r="A527" s="27">
        <v>523</v>
      </c>
      <c r="B527" s="3" t="s">
        <v>1408</v>
      </c>
      <c r="C527" s="28" t="s">
        <v>371</v>
      </c>
      <c r="D527" s="28" t="s">
        <v>2327</v>
      </c>
      <c r="E527" s="3" t="s">
        <v>3243</v>
      </c>
      <c r="F527" s="27">
        <v>1</v>
      </c>
      <c r="G527" s="28" t="s">
        <v>371</v>
      </c>
      <c r="H527" s="29"/>
    </row>
    <row r="528" spans="1:8" s="22" customFormat="1" ht="15.9" customHeight="1">
      <c r="A528" s="27">
        <v>524</v>
      </c>
      <c r="B528" s="3" t="s">
        <v>1409</v>
      </c>
      <c r="C528" s="28" t="s">
        <v>371</v>
      </c>
      <c r="D528" s="28" t="s">
        <v>2328</v>
      </c>
      <c r="E528" s="3" t="s">
        <v>3244</v>
      </c>
      <c r="F528" s="27">
        <v>1</v>
      </c>
      <c r="G528" s="28" t="s">
        <v>371</v>
      </c>
      <c r="H528" s="29"/>
    </row>
    <row r="529" spans="1:8" s="22" customFormat="1" ht="15.9" customHeight="1">
      <c r="A529" s="27">
        <v>525</v>
      </c>
      <c r="B529" s="3" t="s">
        <v>1410</v>
      </c>
      <c r="C529" s="28" t="s">
        <v>371</v>
      </c>
      <c r="D529" s="28" t="s">
        <v>2329</v>
      </c>
      <c r="E529" s="3" t="s">
        <v>3245</v>
      </c>
      <c r="F529" s="27">
        <v>1</v>
      </c>
      <c r="G529" s="28" t="s">
        <v>371</v>
      </c>
      <c r="H529" s="29"/>
    </row>
    <row r="530" spans="1:8" s="22" customFormat="1" ht="15.9" customHeight="1">
      <c r="A530" s="27">
        <v>526</v>
      </c>
      <c r="B530" s="3" t="s">
        <v>1411</v>
      </c>
      <c r="C530" s="28" t="s">
        <v>371</v>
      </c>
      <c r="D530" s="28" t="s">
        <v>2330</v>
      </c>
      <c r="E530" s="3" t="s">
        <v>3246</v>
      </c>
      <c r="F530" s="27">
        <v>1</v>
      </c>
      <c r="G530" s="28" t="s">
        <v>371</v>
      </c>
      <c r="H530" s="29"/>
    </row>
    <row r="531" spans="1:8" s="22" customFormat="1" ht="15.9" customHeight="1">
      <c r="A531" s="27">
        <v>527</v>
      </c>
      <c r="B531" s="3" t="s">
        <v>1412</v>
      </c>
      <c r="C531" s="28" t="s">
        <v>371</v>
      </c>
      <c r="D531" s="28" t="s">
        <v>2331</v>
      </c>
      <c r="E531" s="3" t="s">
        <v>3247</v>
      </c>
      <c r="F531" s="27">
        <v>1</v>
      </c>
      <c r="G531" s="28" t="s">
        <v>371</v>
      </c>
      <c r="H531" s="29"/>
    </row>
    <row r="532" spans="1:8" s="22" customFormat="1" ht="15.9" customHeight="1">
      <c r="A532" s="27">
        <v>528</v>
      </c>
      <c r="B532" s="3" t="s">
        <v>1413</v>
      </c>
      <c r="C532" s="28" t="s">
        <v>371</v>
      </c>
      <c r="D532" s="28" t="s">
        <v>2332</v>
      </c>
      <c r="E532" s="3" t="s">
        <v>3248</v>
      </c>
      <c r="F532" s="27">
        <v>1</v>
      </c>
      <c r="G532" s="28" t="s">
        <v>371</v>
      </c>
      <c r="H532" s="29"/>
    </row>
    <row r="533" spans="1:8" s="22" customFormat="1" ht="15.9" customHeight="1">
      <c r="A533" s="27">
        <v>529</v>
      </c>
      <c r="B533" s="3" t="s">
        <v>1414</v>
      </c>
      <c r="C533" s="28" t="s">
        <v>371</v>
      </c>
      <c r="D533" s="28" t="s">
        <v>2333</v>
      </c>
      <c r="E533" s="3" t="s">
        <v>3249</v>
      </c>
      <c r="F533" s="27">
        <v>1</v>
      </c>
      <c r="G533" s="28" t="s">
        <v>371</v>
      </c>
      <c r="H533" s="29"/>
    </row>
    <row r="534" spans="1:8" s="22" customFormat="1" ht="15.9" customHeight="1">
      <c r="A534" s="27">
        <v>530</v>
      </c>
      <c r="B534" s="3" t="s">
        <v>1415</v>
      </c>
      <c r="C534" s="28" t="s">
        <v>371</v>
      </c>
      <c r="D534" s="28" t="s">
        <v>2334</v>
      </c>
      <c r="E534" s="3" t="s">
        <v>3250</v>
      </c>
      <c r="F534" s="27">
        <v>1</v>
      </c>
      <c r="G534" s="28" t="s">
        <v>371</v>
      </c>
      <c r="H534" s="29"/>
    </row>
    <row r="535" spans="1:8" s="22" customFormat="1" ht="15.9" customHeight="1">
      <c r="A535" s="27">
        <v>531</v>
      </c>
      <c r="B535" s="3" t="s">
        <v>1416</v>
      </c>
      <c r="C535" s="28" t="s">
        <v>371</v>
      </c>
      <c r="D535" s="28" t="s">
        <v>2335</v>
      </c>
      <c r="E535" s="3" t="s">
        <v>3251</v>
      </c>
      <c r="F535" s="27">
        <v>1</v>
      </c>
      <c r="G535" s="28" t="s">
        <v>371</v>
      </c>
      <c r="H535" s="29"/>
    </row>
    <row r="536" spans="1:8" s="22" customFormat="1" ht="15.9" customHeight="1">
      <c r="A536" s="27">
        <v>532</v>
      </c>
      <c r="B536" s="3" t="s">
        <v>1417</v>
      </c>
      <c r="C536" s="28" t="s">
        <v>371</v>
      </c>
      <c r="D536" s="28" t="s">
        <v>2336</v>
      </c>
      <c r="E536" s="3" t="s">
        <v>3252</v>
      </c>
      <c r="F536" s="27">
        <v>1</v>
      </c>
      <c r="G536" s="28" t="s">
        <v>371</v>
      </c>
      <c r="H536" s="29"/>
    </row>
    <row r="537" spans="1:8" s="22" customFormat="1" ht="15.9" customHeight="1">
      <c r="A537" s="27">
        <v>533</v>
      </c>
      <c r="B537" s="3" t="s">
        <v>1418</v>
      </c>
      <c r="C537" s="28" t="s">
        <v>371</v>
      </c>
      <c r="D537" s="28" t="s">
        <v>2337</v>
      </c>
      <c r="E537" s="3" t="s">
        <v>3253</v>
      </c>
      <c r="F537" s="27">
        <v>1</v>
      </c>
      <c r="G537" s="28" t="s">
        <v>371</v>
      </c>
      <c r="H537" s="29"/>
    </row>
    <row r="538" spans="1:8" s="22" customFormat="1" ht="15.9" customHeight="1">
      <c r="A538" s="27">
        <v>534</v>
      </c>
      <c r="B538" s="3" t="s">
        <v>1419</v>
      </c>
      <c r="C538" s="28" t="s">
        <v>371</v>
      </c>
      <c r="D538" s="28" t="s">
        <v>2338</v>
      </c>
      <c r="E538" s="3" t="s">
        <v>3254</v>
      </c>
      <c r="F538" s="27">
        <v>1</v>
      </c>
      <c r="G538" s="28" t="s">
        <v>371</v>
      </c>
      <c r="H538" s="29"/>
    </row>
    <row r="539" spans="1:8" s="22" customFormat="1" ht="15.9" customHeight="1">
      <c r="A539" s="27">
        <v>535</v>
      </c>
      <c r="B539" s="3" t="s">
        <v>3796</v>
      </c>
      <c r="C539" s="28" t="s">
        <v>371</v>
      </c>
      <c r="D539" s="28" t="s">
        <v>2339</v>
      </c>
      <c r="E539" s="3" t="s">
        <v>3255</v>
      </c>
      <c r="F539" s="27">
        <v>1</v>
      </c>
      <c r="G539" s="28" t="s">
        <v>371</v>
      </c>
      <c r="H539" s="29"/>
    </row>
    <row r="540" spans="1:8" s="22" customFormat="1" ht="15.9" customHeight="1">
      <c r="A540" s="27">
        <v>536</v>
      </c>
      <c r="B540" s="3" t="s">
        <v>1420</v>
      </c>
      <c r="C540" s="28" t="s">
        <v>371</v>
      </c>
      <c r="D540" s="28" t="s">
        <v>2340</v>
      </c>
      <c r="E540" s="3" t="s">
        <v>3256</v>
      </c>
      <c r="F540" s="27">
        <v>1</v>
      </c>
      <c r="G540" s="28" t="s">
        <v>371</v>
      </c>
      <c r="H540" s="29"/>
    </row>
    <row r="541" spans="1:8" s="22" customFormat="1" ht="15.9" customHeight="1">
      <c r="A541" s="27">
        <v>537</v>
      </c>
      <c r="B541" s="3" t="s">
        <v>1421</v>
      </c>
      <c r="C541" s="28" t="s">
        <v>371</v>
      </c>
      <c r="D541" s="28" t="s">
        <v>2341</v>
      </c>
      <c r="E541" s="3" t="s">
        <v>3257</v>
      </c>
      <c r="F541" s="27">
        <v>1</v>
      </c>
      <c r="G541" s="28" t="s">
        <v>371</v>
      </c>
      <c r="H541" s="29"/>
    </row>
    <row r="542" spans="1:8" s="22" customFormat="1" ht="15.9" customHeight="1">
      <c r="A542" s="27">
        <v>538</v>
      </c>
      <c r="B542" s="3" t="s">
        <v>1422</v>
      </c>
      <c r="C542" s="28" t="s">
        <v>371</v>
      </c>
      <c r="D542" s="28" t="s">
        <v>2342</v>
      </c>
      <c r="E542" s="3" t="s">
        <v>3258</v>
      </c>
      <c r="F542" s="27">
        <v>1</v>
      </c>
      <c r="G542" s="28" t="s">
        <v>371</v>
      </c>
      <c r="H542" s="29"/>
    </row>
    <row r="543" spans="1:8" s="22" customFormat="1" ht="15.9" customHeight="1">
      <c r="A543" s="27">
        <v>539</v>
      </c>
      <c r="B543" s="3" t="s">
        <v>1423</v>
      </c>
      <c r="C543" s="28" t="s">
        <v>371</v>
      </c>
      <c r="D543" s="28" t="s">
        <v>2343</v>
      </c>
      <c r="E543" s="3" t="s">
        <v>3259</v>
      </c>
      <c r="F543" s="27">
        <v>1</v>
      </c>
      <c r="G543" s="28" t="s">
        <v>371</v>
      </c>
      <c r="H543" s="29"/>
    </row>
    <row r="544" spans="1:8" s="22" customFormat="1" ht="15.9" customHeight="1">
      <c r="A544" s="27">
        <v>540</v>
      </c>
      <c r="B544" s="3" t="s">
        <v>1424</v>
      </c>
      <c r="C544" s="28" t="s">
        <v>371</v>
      </c>
      <c r="D544" s="28" t="s">
        <v>2344</v>
      </c>
      <c r="E544" s="3" t="s">
        <v>3260</v>
      </c>
      <c r="F544" s="27">
        <v>1</v>
      </c>
      <c r="G544" s="28" t="s">
        <v>371</v>
      </c>
      <c r="H544" s="29"/>
    </row>
    <row r="545" spans="1:8" s="22" customFormat="1" ht="15.9" customHeight="1">
      <c r="A545" s="27">
        <v>541</v>
      </c>
      <c r="B545" s="3" t="s">
        <v>1425</v>
      </c>
      <c r="C545" s="28" t="s">
        <v>371</v>
      </c>
      <c r="D545" s="28" t="s">
        <v>2345</v>
      </c>
      <c r="E545" s="3" t="s">
        <v>3261</v>
      </c>
      <c r="F545" s="27">
        <v>1</v>
      </c>
      <c r="G545" s="28" t="s">
        <v>371</v>
      </c>
      <c r="H545" s="29"/>
    </row>
    <row r="546" spans="1:8" s="22" customFormat="1" ht="15.9" customHeight="1">
      <c r="A546" s="27">
        <v>542</v>
      </c>
      <c r="B546" s="3" t="s">
        <v>1426</v>
      </c>
      <c r="C546" s="28" t="s">
        <v>371</v>
      </c>
      <c r="D546" s="28" t="s">
        <v>2346</v>
      </c>
      <c r="E546" s="3" t="s">
        <v>3262</v>
      </c>
      <c r="F546" s="27">
        <v>1</v>
      </c>
      <c r="G546" s="28" t="s">
        <v>371</v>
      </c>
      <c r="H546" s="29"/>
    </row>
    <row r="547" spans="1:8" s="22" customFormat="1" ht="15.9" customHeight="1">
      <c r="A547" s="27">
        <v>543</v>
      </c>
      <c r="B547" s="3" t="s">
        <v>1427</v>
      </c>
      <c r="C547" s="28" t="s">
        <v>371</v>
      </c>
      <c r="D547" s="28" t="s">
        <v>2347</v>
      </c>
      <c r="E547" s="3" t="s">
        <v>3263</v>
      </c>
      <c r="F547" s="27">
        <v>1</v>
      </c>
      <c r="G547" s="28" t="s">
        <v>371</v>
      </c>
      <c r="H547" s="29"/>
    </row>
    <row r="548" spans="1:8" s="22" customFormat="1" ht="15.9" customHeight="1">
      <c r="A548" s="27">
        <v>544</v>
      </c>
      <c r="B548" s="3" t="s">
        <v>4649</v>
      </c>
      <c r="C548" s="28" t="s">
        <v>4646</v>
      </c>
      <c r="D548" s="28" t="s">
        <v>4650</v>
      </c>
      <c r="E548" s="3" t="s">
        <v>4651</v>
      </c>
      <c r="F548" s="27">
        <v>1</v>
      </c>
      <c r="G548" s="28" t="s">
        <v>4335</v>
      </c>
      <c r="H548" s="29"/>
    </row>
    <row r="549" spans="1:8" s="22" customFormat="1" ht="15.9" customHeight="1">
      <c r="A549" s="27">
        <v>545</v>
      </c>
      <c r="B549" s="3" t="s">
        <v>1428</v>
      </c>
      <c r="C549" s="28" t="s">
        <v>371</v>
      </c>
      <c r="D549" s="28" t="s">
        <v>2348</v>
      </c>
      <c r="E549" s="3" t="s">
        <v>3264</v>
      </c>
      <c r="F549" s="27">
        <v>1</v>
      </c>
      <c r="G549" s="28" t="s">
        <v>371</v>
      </c>
      <c r="H549" s="29"/>
    </row>
    <row r="550" spans="1:8" s="22" customFormat="1" ht="15.9" customHeight="1">
      <c r="A550" s="27">
        <v>546</v>
      </c>
      <c r="B550" s="3" t="s">
        <v>1429</v>
      </c>
      <c r="C550" s="28" t="s">
        <v>371</v>
      </c>
      <c r="D550" s="28" t="s">
        <v>2349</v>
      </c>
      <c r="E550" s="3" t="s">
        <v>3265</v>
      </c>
      <c r="F550" s="27">
        <v>1</v>
      </c>
      <c r="G550" s="28" t="s">
        <v>371</v>
      </c>
      <c r="H550" s="29"/>
    </row>
    <row r="551" spans="1:8" s="22" customFormat="1" ht="15.9" customHeight="1">
      <c r="A551" s="27">
        <v>547</v>
      </c>
      <c r="B551" s="3" t="s">
        <v>1430</v>
      </c>
      <c r="C551" s="28" t="s">
        <v>371</v>
      </c>
      <c r="D551" s="28" t="s">
        <v>2350</v>
      </c>
      <c r="E551" s="3" t="s">
        <v>3266</v>
      </c>
      <c r="F551" s="27">
        <v>1</v>
      </c>
      <c r="G551" s="28" t="s">
        <v>371</v>
      </c>
      <c r="H551" s="29"/>
    </row>
    <row r="552" spans="1:8" s="22" customFormat="1" ht="15.9" customHeight="1">
      <c r="A552" s="27">
        <v>548</v>
      </c>
      <c r="B552" s="3" t="s">
        <v>1431</v>
      </c>
      <c r="C552" s="28" t="s">
        <v>371</v>
      </c>
      <c r="D552" s="28" t="s">
        <v>2351</v>
      </c>
      <c r="E552" s="3" t="s">
        <v>3267</v>
      </c>
      <c r="F552" s="27">
        <v>1</v>
      </c>
      <c r="G552" s="28" t="s">
        <v>371</v>
      </c>
      <c r="H552" s="29"/>
    </row>
    <row r="553" spans="1:8" s="22" customFormat="1" ht="15.9" customHeight="1">
      <c r="A553" s="27">
        <v>549</v>
      </c>
      <c r="B553" s="3" t="s">
        <v>1432</v>
      </c>
      <c r="C553" s="28" t="s">
        <v>371</v>
      </c>
      <c r="D553" s="28" t="s">
        <v>2352</v>
      </c>
      <c r="E553" s="3" t="s">
        <v>3268</v>
      </c>
      <c r="F553" s="27">
        <v>1</v>
      </c>
      <c r="G553" s="28" t="s">
        <v>371</v>
      </c>
      <c r="H553" s="29"/>
    </row>
    <row r="554" spans="1:8" s="22" customFormat="1" ht="15.9" customHeight="1">
      <c r="A554" s="27">
        <v>550</v>
      </c>
      <c r="B554" s="3" t="s">
        <v>1433</v>
      </c>
      <c r="C554" s="28" t="s">
        <v>371</v>
      </c>
      <c r="D554" s="28" t="s">
        <v>2353</v>
      </c>
      <c r="E554" s="3" t="s">
        <v>3269</v>
      </c>
      <c r="F554" s="27">
        <v>1</v>
      </c>
      <c r="G554" s="28" t="s">
        <v>371</v>
      </c>
      <c r="H554" s="29"/>
    </row>
    <row r="555" spans="1:8" s="22" customFormat="1" ht="15.9" customHeight="1">
      <c r="A555" s="27">
        <v>551</v>
      </c>
      <c r="B555" s="3" t="s">
        <v>1434</v>
      </c>
      <c r="C555" s="28" t="s">
        <v>371</v>
      </c>
      <c r="D555" s="28" t="s">
        <v>2354</v>
      </c>
      <c r="E555" s="3" t="s">
        <v>3270</v>
      </c>
      <c r="F555" s="27">
        <v>1</v>
      </c>
      <c r="G555" s="28" t="s">
        <v>371</v>
      </c>
      <c r="H555" s="29"/>
    </row>
    <row r="556" spans="1:8" s="22" customFormat="1" ht="15.9" customHeight="1">
      <c r="A556" s="27">
        <v>552</v>
      </c>
      <c r="B556" s="3" t="s">
        <v>1435</v>
      </c>
      <c r="C556" s="28" t="s">
        <v>371</v>
      </c>
      <c r="D556" s="28" t="s">
        <v>2355</v>
      </c>
      <c r="E556" s="3" t="s">
        <v>3271</v>
      </c>
      <c r="F556" s="27">
        <v>1</v>
      </c>
      <c r="G556" s="28" t="s">
        <v>371</v>
      </c>
      <c r="H556" s="29"/>
    </row>
    <row r="557" spans="1:8" s="22" customFormat="1" ht="15.9" customHeight="1">
      <c r="A557" s="27">
        <v>553</v>
      </c>
      <c r="B557" s="3" t="s">
        <v>1436</v>
      </c>
      <c r="C557" s="28" t="s">
        <v>371</v>
      </c>
      <c r="D557" s="28" t="s">
        <v>2356</v>
      </c>
      <c r="E557" s="3" t="s">
        <v>3272</v>
      </c>
      <c r="F557" s="27">
        <v>1</v>
      </c>
      <c r="G557" s="28" t="s">
        <v>371</v>
      </c>
      <c r="H557" s="29"/>
    </row>
    <row r="558" spans="1:8" s="22" customFormat="1" ht="15.9" customHeight="1">
      <c r="A558" s="27">
        <v>554</v>
      </c>
      <c r="B558" s="3" t="s">
        <v>1437</v>
      </c>
      <c r="C558" s="28" t="s">
        <v>371</v>
      </c>
      <c r="D558" s="28" t="s">
        <v>2357</v>
      </c>
      <c r="E558" s="3" t="s">
        <v>3273</v>
      </c>
      <c r="F558" s="27">
        <v>1</v>
      </c>
      <c r="G558" s="28" t="s">
        <v>371</v>
      </c>
      <c r="H558" s="29"/>
    </row>
    <row r="559" spans="1:8" s="22" customFormat="1" ht="15.9" customHeight="1">
      <c r="A559" s="27">
        <v>555</v>
      </c>
      <c r="B559" s="3" t="s">
        <v>1438</v>
      </c>
      <c r="C559" s="28" t="s">
        <v>371</v>
      </c>
      <c r="D559" s="28" t="s">
        <v>2358</v>
      </c>
      <c r="E559" s="3" t="s">
        <v>3274</v>
      </c>
      <c r="F559" s="27">
        <v>1</v>
      </c>
      <c r="G559" s="28" t="s">
        <v>371</v>
      </c>
      <c r="H559" s="29"/>
    </row>
    <row r="560" spans="1:8" s="22" customFormat="1" ht="15.9" customHeight="1">
      <c r="A560" s="27">
        <v>556</v>
      </c>
      <c r="B560" s="3" t="s">
        <v>1439</v>
      </c>
      <c r="C560" s="28" t="s">
        <v>371</v>
      </c>
      <c r="D560" s="28" t="s">
        <v>2359</v>
      </c>
      <c r="E560" s="3" t="s">
        <v>3275</v>
      </c>
      <c r="F560" s="27">
        <v>1</v>
      </c>
      <c r="G560" s="28" t="s">
        <v>371</v>
      </c>
      <c r="H560" s="29"/>
    </row>
    <row r="561" spans="1:8" s="22" customFormat="1" ht="15.9" customHeight="1">
      <c r="A561" s="27">
        <v>557</v>
      </c>
      <c r="B561" s="3" t="s">
        <v>1440</v>
      </c>
      <c r="C561" s="28" t="s">
        <v>371</v>
      </c>
      <c r="D561" s="28" t="s">
        <v>2360</v>
      </c>
      <c r="E561" s="3" t="s">
        <v>3276</v>
      </c>
      <c r="F561" s="27">
        <v>1</v>
      </c>
      <c r="G561" s="28" t="s">
        <v>371</v>
      </c>
      <c r="H561" s="29"/>
    </row>
    <row r="562" spans="1:8" s="22" customFormat="1" ht="15.9" customHeight="1">
      <c r="A562" s="27">
        <v>558</v>
      </c>
      <c r="B562" s="3" t="s">
        <v>1441</v>
      </c>
      <c r="C562" s="28" t="s">
        <v>371</v>
      </c>
      <c r="D562" s="28" t="s">
        <v>2361</v>
      </c>
      <c r="E562" s="3" t="s">
        <v>3277</v>
      </c>
      <c r="F562" s="27">
        <v>1</v>
      </c>
      <c r="G562" s="28" t="s">
        <v>371</v>
      </c>
      <c r="H562" s="29"/>
    </row>
    <row r="563" spans="1:8" s="22" customFormat="1" ht="15.9" customHeight="1">
      <c r="A563" s="27">
        <v>559</v>
      </c>
      <c r="B563" s="3" t="s">
        <v>1442</v>
      </c>
      <c r="C563" s="28" t="s">
        <v>371</v>
      </c>
      <c r="D563" s="28" t="s">
        <v>2362</v>
      </c>
      <c r="E563" s="3" t="s">
        <v>3278</v>
      </c>
      <c r="F563" s="27">
        <v>1</v>
      </c>
      <c r="G563" s="28" t="s">
        <v>371</v>
      </c>
      <c r="H563" s="29"/>
    </row>
    <row r="564" spans="1:8" s="22" customFormat="1" ht="15.9" customHeight="1">
      <c r="A564" s="27">
        <v>560</v>
      </c>
      <c r="B564" s="3" t="s">
        <v>4652</v>
      </c>
      <c r="C564" s="28" t="s">
        <v>371</v>
      </c>
      <c r="D564" s="28" t="s">
        <v>4653</v>
      </c>
      <c r="E564" s="3" t="s">
        <v>4654</v>
      </c>
      <c r="F564" s="27">
        <v>1</v>
      </c>
      <c r="G564" s="28" t="s">
        <v>371</v>
      </c>
      <c r="H564" s="29"/>
    </row>
    <row r="565" spans="1:8" s="22" customFormat="1" ht="15.9" customHeight="1">
      <c r="A565" s="27">
        <v>561</v>
      </c>
      <c r="B565" s="3" t="s">
        <v>1443</v>
      </c>
      <c r="C565" s="28" t="s">
        <v>371</v>
      </c>
      <c r="D565" s="28" t="s">
        <v>2363</v>
      </c>
      <c r="E565" s="3" t="s">
        <v>3279</v>
      </c>
      <c r="F565" s="27">
        <v>1</v>
      </c>
      <c r="G565" s="28" t="s">
        <v>371</v>
      </c>
      <c r="H565" s="29"/>
    </row>
    <row r="566" spans="1:8" s="22" customFormat="1" ht="15.9" customHeight="1">
      <c r="A566" s="27">
        <v>562</v>
      </c>
      <c r="B566" s="3" t="s">
        <v>4655</v>
      </c>
      <c r="C566" s="28" t="s">
        <v>4656</v>
      </c>
      <c r="D566" s="28" t="s">
        <v>4657</v>
      </c>
      <c r="E566" s="3" t="s">
        <v>4658</v>
      </c>
      <c r="F566" s="27">
        <v>2</v>
      </c>
      <c r="G566" s="28" t="s">
        <v>4335</v>
      </c>
      <c r="H566" s="29"/>
    </row>
    <row r="567" spans="1:8" s="22" customFormat="1" ht="15.9" customHeight="1">
      <c r="A567" s="27">
        <v>563</v>
      </c>
      <c r="B567" s="3" t="s">
        <v>1444</v>
      </c>
      <c r="C567" s="28" t="s">
        <v>371</v>
      </c>
      <c r="D567" s="28" t="s">
        <v>2364</v>
      </c>
      <c r="E567" s="3" t="s">
        <v>3280</v>
      </c>
      <c r="F567" s="27">
        <v>1</v>
      </c>
      <c r="G567" s="28" t="s">
        <v>371</v>
      </c>
      <c r="H567" s="29"/>
    </row>
    <row r="568" spans="1:8" s="22" customFormat="1" ht="15.9" customHeight="1">
      <c r="A568" s="27">
        <v>564</v>
      </c>
      <c r="B568" s="3" t="s">
        <v>1445</v>
      </c>
      <c r="C568" s="28" t="s">
        <v>371</v>
      </c>
      <c r="D568" s="28" t="s">
        <v>2365</v>
      </c>
      <c r="E568" s="3" t="s">
        <v>3281</v>
      </c>
      <c r="F568" s="27">
        <v>1</v>
      </c>
      <c r="G568" s="28" t="s">
        <v>371</v>
      </c>
      <c r="H568" s="29"/>
    </row>
    <row r="569" spans="1:8" s="22" customFormat="1" ht="15.9" customHeight="1">
      <c r="A569" s="27">
        <v>565</v>
      </c>
      <c r="B569" s="3" t="s">
        <v>1446</v>
      </c>
      <c r="C569" s="28" t="s">
        <v>371</v>
      </c>
      <c r="D569" s="28" t="s">
        <v>2366</v>
      </c>
      <c r="E569" s="3" t="s">
        <v>3282</v>
      </c>
      <c r="F569" s="27">
        <v>1</v>
      </c>
      <c r="G569" s="28" t="s">
        <v>371</v>
      </c>
      <c r="H569" s="29"/>
    </row>
    <row r="570" spans="1:8" s="22" customFormat="1" ht="15.9" customHeight="1">
      <c r="A570" s="27">
        <v>566</v>
      </c>
      <c r="B570" s="3" t="s">
        <v>1447</v>
      </c>
      <c r="C570" s="28" t="s">
        <v>371</v>
      </c>
      <c r="D570" s="28" t="s">
        <v>2367</v>
      </c>
      <c r="E570" s="3" t="s">
        <v>3283</v>
      </c>
      <c r="F570" s="27">
        <v>1</v>
      </c>
      <c r="G570" s="28" t="s">
        <v>371</v>
      </c>
      <c r="H570" s="29"/>
    </row>
    <row r="571" spans="1:8" s="22" customFormat="1" ht="15.9" customHeight="1">
      <c r="A571" s="27">
        <v>567</v>
      </c>
      <c r="B571" s="3" t="s">
        <v>1448</v>
      </c>
      <c r="C571" s="28" t="s">
        <v>371</v>
      </c>
      <c r="D571" s="28" t="s">
        <v>2368</v>
      </c>
      <c r="E571" s="3" t="s">
        <v>3284</v>
      </c>
      <c r="F571" s="27">
        <v>1</v>
      </c>
      <c r="G571" s="28" t="s">
        <v>371</v>
      </c>
      <c r="H571" s="29"/>
    </row>
    <row r="572" spans="1:8" s="22" customFormat="1" ht="15.9" customHeight="1">
      <c r="A572" s="27">
        <v>568</v>
      </c>
      <c r="B572" s="3" t="s">
        <v>1449</v>
      </c>
      <c r="C572" s="28" t="s">
        <v>371</v>
      </c>
      <c r="D572" s="28" t="s">
        <v>2369</v>
      </c>
      <c r="E572" s="3" t="s">
        <v>3285</v>
      </c>
      <c r="F572" s="27">
        <v>1</v>
      </c>
      <c r="G572" s="28" t="s">
        <v>371</v>
      </c>
      <c r="H572" s="29"/>
    </row>
    <row r="573" spans="1:8" s="22" customFormat="1" ht="15.9" customHeight="1">
      <c r="A573" s="27">
        <v>569</v>
      </c>
      <c r="B573" s="3" t="s">
        <v>1450</v>
      </c>
      <c r="C573" s="28" t="s">
        <v>371</v>
      </c>
      <c r="D573" s="28" t="s">
        <v>2370</v>
      </c>
      <c r="E573" s="3" t="s">
        <v>3286</v>
      </c>
      <c r="F573" s="27">
        <v>1</v>
      </c>
      <c r="G573" s="28" t="s">
        <v>371</v>
      </c>
      <c r="H573" s="29"/>
    </row>
    <row r="574" spans="1:8" s="22" customFormat="1" ht="15.9" customHeight="1">
      <c r="A574" s="27">
        <v>570</v>
      </c>
      <c r="B574" s="3" t="s">
        <v>1451</v>
      </c>
      <c r="C574" s="28" t="s">
        <v>371</v>
      </c>
      <c r="D574" s="28" t="s">
        <v>2371</v>
      </c>
      <c r="E574" s="3" t="s">
        <v>3287</v>
      </c>
      <c r="F574" s="27">
        <v>1</v>
      </c>
      <c r="G574" s="28" t="s">
        <v>371</v>
      </c>
      <c r="H574" s="29"/>
    </row>
    <row r="575" spans="1:8" s="22" customFormat="1" ht="15.9" customHeight="1">
      <c r="A575" s="27">
        <v>571</v>
      </c>
      <c r="B575" s="3" t="s">
        <v>3797</v>
      </c>
      <c r="C575" s="28" t="s">
        <v>371</v>
      </c>
      <c r="D575" s="28" t="s">
        <v>2372</v>
      </c>
      <c r="E575" s="3" t="s">
        <v>3288</v>
      </c>
      <c r="F575" s="27">
        <v>1</v>
      </c>
      <c r="G575" s="28" t="s">
        <v>371</v>
      </c>
      <c r="H575" s="29"/>
    </row>
    <row r="576" spans="1:8" s="22" customFormat="1" ht="15.9" customHeight="1">
      <c r="A576" s="27">
        <v>572</v>
      </c>
      <c r="B576" s="3" t="s">
        <v>1452</v>
      </c>
      <c r="C576" s="28" t="s">
        <v>371</v>
      </c>
      <c r="D576" s="28" t="s">
        <v>2373</v>
      </c>
      <c r="E576" s="3" t="s">
        <v>3289</v>
      </c>
      <c r="F576" s="27">
        <v>1</v>
      </c>
      <c r="G576" s="28" t="s">
        <v>371</v>
      </c>
      <c r="H576" s="29"/>
    </row>
    <row r="577" spans="1:8" s="22" customFormat="1" ht="15.9" customHeight="1">
      <c r="A577" s="27">
        <v>573</v>
      </c>
      <c r="B577" s="3" t="s">
        <v>1453</v>
      </c>
      <c r="C577" s="28" t="s">
        <v>371</v>
      </c>
      <c r="D577" s="28" t="s">
        <v>2374</v>
      </c>
      <c r="E577" s="3" t="s">
        <v>3290</v>
      </c>
      <c r="F577" s="27">
        <v>1</v>
      </c>
      <c r="G577" s="28" t="s">
        <v>371</v>
      </c>
      <c r="H577" s="29"/>
    </row>
    <row r="578" spans="1:8" s="22" customFormat="1" ht="15.9" customHeight="1">
      <c r="A578" s="27">
        <v>574</v>
      </c>
      <c r="B578" s="3" t="s">
        <v>1454</v>
      </c>
      <c r="C578" s="28" t="s">
        <v>371</v>
      </c>
      <c r="D578" s="28" t="s">
        <v>2375</v>
      </c>
      <c r="E578" s="3" t="s">
        <v>3291</v>
      </c>
      <c r="F578" s="27">
        <v>1</v>
      </c>
      <c r="G578" s="28" t="s">
        <v>371</v>
      </c>
      <c r="H578" s="29"/>
    </row>
    <row r="579" spans="1:8" s="22" customFormat="1" ht="15.9" customHeight="1">
      <c r="A579" s="27">
        <v>575</v>
      </c>
      <c r="B579" s="3" t="s">
        <v>1455</v>
      </c>
      <c r="C579" s="28" t="s">
        <v>371</v>
      </c>
      <c r="D579" s="28" t="s">
        <v>2376</v>
      </c>
      <c r="E579" s="3" t="s">
        <v>3292</v>
      </c>
      <c r="F579" s="27">
        <v>1</v>
      </c>
      <c r="G579" s="28" t="s">
        <v>371</v>
      </c>
      <c r="H579" s="29"/>
    </row>
    <row r="580" spans="1:8" s="22" customFormat="1" ht="15.9" customHeight="1">
      <c r="A580" s="27">
        <v>576</v>
      </c>
      <c r="B580" s="3" t="s">
        <v>1456</v>
      </c>
      <c r="C580" s="28" t="s">
        <v>371</v>
      </c>
      <c r="D580" s="28" t="s">
        <v>2377</v>
      </c>
      <c r="E580" s="3" t="s">
        <v>3293</v>
      </c>
      <c r="F580" s="27">
        <v>1</v>
      </c>
      <c r="G580" s="28" t="s">
        <v>371</v>
      </c>
      <c r="H580" s="29"/>
    </row>
    <row r="581" spans="1:8" s="22" customFormat="1" ht="15.9" customHeight="1">
      <c r="A581" s="27">
        <v>577</v>
      </c>
      <c r="B581" s="3" t="s">
        <v>4659</v>
      </c>
      <c r="C581" s="28" t="s">
        <v>371</v>
      </c>
      <c r="D581" s="28" t="s">
        <v>4660</v>
      </c>
      <c r="E581" s="3" t="s">
        <v>4661</v>
      </c>
      <c r="F581" s="27">
        <v>1</v>
      </c>
      <c r="G581" s="28" t="s">
        <v>371</v>
      </c>
      <c r="H581" s="29"/>
    </row>
    <row r="582" spans="1:8" s="22" customFormat="1" ht="15.9" customHeight="1">
      <c r="A582" s="27">
        <v>578</v>
      </c>
      <c r="B582" s="3" t="s">
        <v>1457</v>
      </c>
      <c r="C582" s="28" t="s">
        <v>371</v>
      </c>
      <c r="D582" s="28" t="s">
        <v>2378</v>
      </c>
      <c r="E582" s="3" t="s">
        <v>3294</v>
      </c>
      <c r="F582" s="27">
        <v>1</v>
      </c>
      <c r="G582" s="28" t="s">
        <v>371</v>
      </c>
      <c r="H582" s="29"/>
    </row>
    <row r="583" spans="1:8" s="22" customFormat="1" ht="15.9" customHeight="1">
      <c r="A583" s="27">
        <v>579</v>
      </c>
      <c r="B583" s="3" t="s">
        <v>1458</v>
      </c>
      <c r="C583" s="28" t="s">
        <v>371</v>
      </c>
      <c r="D583" s="28" t="s">
        <v>2379</v>
      </c>
      <c r="E583" s="3" t="s">
        <v>3295</v>
      </c>
      <c r="F583" s="27">
        <v>1</v>
      </c>
      <c r="G583" s="28" t="s">
        <v>371</v>
      </c>
      <c r="H583" s="29"/>
    </row>
    <row r="584" spans="1:8" s="22" customFormat="1" ht="15.9" customHeight="1">
      <c r="A584" s="27">
        <v>580</v>
      </c>
      <c r="B584" s="3" t="s">
        <v>1459</v>
      </c>
      <c r="C584" s="28" t="s">
        <v>371</v>
      </c>
      <c r="D584" s="28" t="s">
        <v>2380</v>
      </c>
      <c r="E584" s="3" t="s">
        <v>3296</v>
      </c>
      <c r="F584" s="27">
        <v>1</v>
      </c>
      <c r="G584" s="28" t="s">
        <v>371</v>
      </c>
      <c r="H584" s="29"/>
    </row>
    <row r="585" spans="1:8" s="22" customFormat="1" ht="15.9" customHeight="1">
      <c r="A585" s="27">
        <v>581</v>
      </c>
      <c r="B585" s="3" t="s">
        <v>1460</v>
      </c>
      <c r="C585" s="28" t="s">
        <v>371</v>
      </c>
      <c r="D585" s="28" t="s">
        <v>2381</v>
      </c>
      <c r="E585" s="3" t="s">
        <v>3297</v>
      </c>
      <c r="F585" s="27">
        <v>1</v>
      </c>
      <c r="G585" s="28" t="s">
        <v>371</v>
      </c>
      <c r="H585" s="29"/>
    </row>
    <row r="586" spans="1:8" s="22" customFormat="1" ht="15.9" customHeight="1">
      <c r="A586" s="27">
        <v>582</v>
      </c>
      <c r="B586" s="3" t="s">
        <v>1461</v>
      </c>
      <c r="C586" s="28" t="s">
        <v>371</v>
      </c>
      <c r="D586" s="28" t="s">
        <v>2382</v>
      </c>
      <c r="E586" s="3" t="s">
        <v>3298</v>
      </c>
      <c r="F586" s="27">
        <v>1</v>
      </c>
      <c r="G586" s="28" t="s">
        <v>371</v>
      </c>
      <c r="H586" s="29"/>
    </row>
    <row r="587" spans="1:8" s="22" customFormat="1" ht="15.9" customHeight="1">
      <c r="A587" s="27">
        <v>583</v>
      </c>
      <c r="B587" s="3" t="s">
        <v>1462</v>
      </c>
      <c r="C587" s="28" t="s">
        <v>371</v>
      </c>
      <c r="D587" s="28" t="s">
        <v>2383</v>
      </c>
      <c r="E587" s="3" t="s">
        <v>3299</v>
      </c>
      <c r="F587" s="27">
        <v>1</v>
      </c>
      <c r="G587" s="28" t="s">
        <v>371</v>
      </c>
      <c r="H587" s="29"/>
    </row>
    <row r="588" spans="1:8" s="22" customFormat="1" ht="15.9" customHeight="1">
      <c r="A588" s="27">
        <v>584</v>
      </c>
      <c r="B588" s="3" t="s">
        <v>1463</v>
      </c>
      <c r="C588" s="28" t="s">
        <v>371</v>
      </c>
      <c r="D588" s="28" t="s">
        <v>2384</v>
      </c>
      <c r="E588" s="3" t="s">
        <v>3300</v>
      </c>
      <c r="F588" s="27">
        <v>1</v>
      </c>
      <c r="G588" s="28" t="s">
        <v>371</v>
      </c>
      <c r="H588" s="29"/>
    </row>
    <row r="589" spans="1:8" s="22" customFormat="1" ht="15.9" customHeight="1">
      <c r="A589" s="27">
        <v>585</v>
      </c>
      <c r="B589" s="3" t="s">
        <v>1464</v>
      </c>
      <c r="C589" s="28" t="s">
        <v>371</v>
      </c>
      <c r="D589" s="28" t="s">
        <v>2385</v>
      </c>
      <c r="E589" s="3" t="s">
        <v>3301</v>
      </c>
      <c r="F589" s="27">
        <v>1</v>
      </c>
      <c r="G589" s="28" t="s">
        <v>371</v>
      </c>
      <c r="H589" s="29"/>
    </row>
    <row r="590" spans="1:8" s="22" customFormat="1" ht="15.9" customHeight="1">
      <c r="A590" s="27">
        <v>586</v>
      </c>
      <c r="B590" s="3" t="s">
        <v>1465</v>
      </c>
      <c r="C590" s="28" t="s">
        <v>371</v>
      </c>
      <c r="D590" s="28" t="s">
        <v>2386</v>
      </c>
      <c r="E590" s="3" t="s">
        <v>3302</v>
      </c>
      <c r="F590" s="27">
        <v>1</v>
      </c>
      <c r="G590" s="28" t="s">
        <v>371</v>
      </c>
      <c r="H590" s="29"/>
    </row>
    <row r="591" spans="1:8" s="22" customFormat="1" ht="15.9" customHeight="1">
      <c r="A591" s="27">
        <v>587</v>
      </c>
      <c r="B591" s="3" t="s">
        <v>1466</v>
      </c>
      <c r="C591" s="28" t="s">
        <v>371</v>
      </c>
      <c r="D591" s="28" t="s">
        <v>2387</v>
      </c>
      <c r="E591" s="3" t="s">
        <v>3303</v>
      </c>
      <c r="F591" s="27">
        <v>1</v>
      </c>
      <c r="G591" s="28" t="s">
        <v>371</v>
      </c>
      <c r="H591" s="29"/>
    </row>
    <row r="592" spans="1:8" s="22" customFormat="1" ht="15.9" customHeight="1">
      <c r="A592" s="27">
        <v>588</v>
      </c>
      <c r="B592" s="3" t="s">
        <v>1467</v>
      </c>
      <c r="C592" s="28" t="s">
        <v>371</v>
      </c>
      <c r="D592" s="28" t="s">
        <v>2388</v>
      </c>
      <c r="E592" s="3" t="s">
        <v>3304</v>
      </c>
      <c r="F592" s="27">
        <v>1</v>
      </c>
      <c r="G592" s="28" t="s">
        <v>371</v>
      </c>
      <c r="H592" s="29"/>
    </row>
    <row r="593" spans="1:8" s="22" customFormat="1" ht="15.9" customHeight="1">
      <c r="A593" s="27">
        <v>589</v>
      </c>
      <c r="B593" s="3" t="s">
        <v>1468</v>
      </c>
      <c r="C593" s="28" t="s">
        <v>371</v>
      </c>
      <c r="D593" s="28" t="s">
        <v>2389</v>
      </c>
      <c r="E593" s="3" t="s">
        <v>3305</v>
      </c>
      <c r="F593" s="27">
        <v>1</v>
      </c>
      <c r="G593" s="28" t="s">
        <v>371</v>
      </c>
      <c r="H593" s="29"/>
    </row>
    <row r="594" spans="1:8" s="22" customFormat="1" ht="15.9" customHeight="1">
      <c r="A594" s="27">
        <v>590</v>
      </c>
      <c r="B594" s="3" t="s">
        <v>1469</v>
      </c>
      <c r="C594" s="28" t="s">
        <v>371</v>
      </c>
      <c r="D594" s="28" t="s">
        <v>2390</v>
      </c>
      <c r="E594" s="3" t="s">
        <v>3306</v>
      </c>
      <c r="F594" s="27">
        <v>1</v>
      </c>
      <c r="G594" s="28" t="s">
        <v>371</v>
      </c>
      <c r="H594" s="29"/>
    </row>
    <row r="595" spans="1:8" s="22" customFormat="1" ht="15.9" customHeight="1">
      <c r="A595" s="27">
        <v>591</v>
      </c>
      <c r="B595" s="3" t="s">
        <v>1470</v>
      </c>
      <c r="C595" s="28" t="s">
        <v>371</v>
      </c>
      <c r="D595" s="28" t="s">
        <v>2391</v>
      </c>
      <c r="E595" s="3" t="s">
        <v>3307</v>
      </c>
      <c r="F595" s="27">
        <v>1</v>
      </c>
      <c r="G595" s="28" t="s">
        <v>371</v>
      </c>
      <c r="H595" s="29"/>
    </row>
    <row r="596" spans="1:8" s="22" customFormat="1" ht="15.9" customHeight="1">
      <c r="A596" s="27">
        <v>592</v>
      </c>
      <c r="B596" s="3" t="s">
        <v>1471</v>
      </c>
      <c r="C596" s="28" t="s">
        <v>371</v>
      </c>
      <c r="D596" s="28" t="s">
        <v>2392</v>
      </c>
      <c r="E596" s="3" t="s">
        <v>3308</v>
      </c>
      <c r="F596" s="27">
        <v>1</v>
      </c>
      <c r="G596" s="28" t="s">
        <v>371</v>
      </c>
      <c r="H596" s="29"/>
    </row>
    <row r="597" spans="1:8" s="22" customFormat="1" ht="15.9" customHeight="1">
      <c r="A597" s="27">
        <v>593</v>
      </c>
      <c r="B597" s="3" t="s">
        <v>1472</v>
      </c>
      <c r="C597" s="28" t="s">
        <v>371</v>
      </c>
      <c r="D597" s="28" t="s">
        <v>2393</v>
      </c>
      <c r="E597" s="3" t="s">
        <v>3309</v>
      </c>
      <c r="F597" s="27">
        <v>1</v>
      </c>
      <c r="G597" s="28" t="s">
        <v>371</v>
      </c>
      <c r="H597" s="29"/>
    </row>
    <row r="598" spans="1:8" s="22" customFormat="1" ht="15.9" customHeight="1">
      <c r="A598" s="27">
        <v>594</v>
      </c>
      <c r="B598" s="3" t="s">
        <v>1473</v>
      </c>
      <c r="C598" s="28" t="s">
        <v>371</v>
      </c>
      <c r="D598" s="28" t="s">
        <v>2394</v>
      </c>
      <c r="E598" s="3" t="s">
        <v>3310</v>
      </c>
      <c r="F598" s="27">
        <v>1</v>
      </c>
      <c r="G598" s="28" t="s">
        <v>371</v>
      </c>
      <c r="H598" s="29"/>
    </row>
    <row r="599" spans="1:8" s="22" customFormat="1" ht="15.9" customHeight="1">
      <c r="A599" s="27">
        <v>595</v>
      </c>
      <c r="B599" s="3" t="s">
        <v>1474</v>
      </c>
      <c r="C599" s="28" t="s">
        <v>371</v>
      </c>
      <c r="D599" s="28" t="s">
        <v>2395</v>
      </c>
      <c r="E599" s="3" t="s">
        <v>3311</v>
      </c>
      <c r="F599" s="27">
        <v>1</v>
      </c>
      <c r="G599" s="28" t="s">
        <v>371</v>
      </c>
      <c r="H599" s="29"/>
    </row>
    <row r="600" spans="1:8" s="22" customFormat="1" ht="15.9" customHeight="1">
      <c r="A600" s="27">
        <v>596</v>
      </c>
      <c r="B600" s="3" t="s">
        <v>1475</v>
      </c>
      <c r="C600" s="28" t="s">
        <v>371</v>
      </c>
      <c r="D600" s="28" t="s">
        <v>2396</v>
      </c>
      <c r="E600" s="3" t="s">
        <v>3312</v>
      </c>
      <c r="F600" s="27">
        <v>1</v>
      </c>
      <c r="G600" s="28" t="s">
        <v>371</v>
      </c>
      <c r="H600" s="29"/>
    </row>
    <row r="601" spans="1:8" s="22" customFormat="1" ht="15.9" customHeight="1">
      <c r="A601" s="27">
        <v>597</v>
      </c>
      <c r="B601" s="3" t="s">
        <v>1476</v>
      </c>
      <c r="C601" s="28" t="s">
        <v>371</v>
      </c>
      <c r="D601" s="28" t="s">
        <v>2397</v>
      </c>
      <c r="E601" s="3" t="s">
        <v>3313</v>
      </c>
      <c r="F601" s="27">
        <v>1</v>
      </c>
      <c r="G601" s="28" t="s">
        <v>371</v>
      </c>
      <c r="H601" s="29"/>
    </row>
    <row r="602" spans="1:8" s="22" customFormat="1" ht="15.9" customHeight="1">
      <c r="A602" s="27">
        <v>598</v>
      </c>
      <c r="B602" s="3" t="s">
        <v>1477</v>
      </c>
      <c r="C602" s="28" t="s">
        <v>371</v>
      </c>
      <c r="D602" s="28" t="s">
        <v>2398</v>
      </c>
      <c r="E602" s="3" t="s">
        <v>3314</v>
      </c>
      <c r="F602" s="27">
        <v>1</v>
      </c>
      <c r="G602" s="28" t="s">
        <v>371</v>
      </c>
      <c r="H602" s="29"/>
    </row>
    <row r="603" spans="1:8" s="22" customFormat="1" ht="15.9" customHeight="1">
      <c r="A603" s="27">
        <v>599</v>
      </c>
      <c r="B603" s="3" t="s">
        <v>1478</v>
      </c>
      <c r="C603" s="28" t="s">
        <v>371</v>
      </c>
      <c r="D603" s="28" t="s">
        <v>2399</v>
      </c>
      <c r="E603" s="3" t="s">
        <v>3315</v>
      </c>
      <c r="F603" s="27">
        <v>1</v>
      </c>
      <c r="G603" s="28" t="s">
        <v>371</v>
      </c>
      <c r="H603" s="29"/>
    </row>
    <row r="604" spans="1:8" s="22" customFormat="1" ht="15.9" customHeight="1">
      <c r="A604" s="27">
        <v>600</v>
      </c>
      <c r="B604" s="3" t="s">
        <v>1479</v>
      </c>
      <c r="C604" s="28" t="s">
        <v>371</v>
      </c>
      <c r="D604" s="28" t="s">
        <v>2400</v>
      </c>
      <c r="E604" s="3" t="s">
        <v>3316</v>
      </c>
      <c r="F604" s="27">
        <v>1</v>
      </c>
      <c r="G604" s="28" t="s">
        <v>371</v>
      </c>
      <c r="H604" s="29"/>
    </row>
    <row r="605" spans="1:8" s="22" customFormat="1" ht="15.9" customHeight="1">
      <c r="A605" s="27">
        <v>601</v>
      </c>
      <c r="B605" s="3" t="s">
        <v>1480</v>
      </c>
      <c r="C605" s="28" t="s">
        <v>371</v>
      </c>
      <c r="D605" s="28" t="s">
        <v>2401</v>
      </c>
      <c r="E605" s="3" t="s">
        <v>3317</v>
      </c>
      <c r="F605" s="27">
        <v>1</v>
      </c>
      <c r="G605" s="28" t="s">
        <v>371</v>
      </c>
      <c r="H605" s="29"/>
    </row>
    <row r="606" spans="1:8" s="22" customFormat="1" ht="15.9" customHeight="1">
      <c r="A606" s="27">
        <v>602</v>
      </c>
      <c r="B606" s="3" t="s">
        <v>1481</v>
      </c>
      <c r="C606" s="28" t="s">
        <v>371</v>
      </c>
      <c r="D606" s="28" t="s">
        <v>2402</v>
      </c>
      <c r="E606" s="3" t="s">
        <v>3318</v>
      </c>
      <c r="F606" s="27">
        <v>1</v>
      </c>
      <c r="G606" s="28" t="s">
        <v>371</v>
      </c>
      <c r="H606" s="29"/>
    </row>
    <row r="607" spans="1:8" s="22" customFormat="1" ht="15.9" customHeight="1">
      <c r="A607" s="27">
        <v>603</v>
      </c>
      <c r="B607" s="3" t="s">
        <v>1482</v>
      </c>
      <c r="C607" s="28" t="s">
        <v>371</v>
      </c>
      <c r="D607" s="28" t="s">
        <v>2403</v>
      </c>
      <c r="E607" s="3" t="s">
        <v>3319</v>
      </c>
      <c r="F607" s="27">
        <v>1</v>
      </c>
      <c r="G607" s="28" t="s">
        <v>371</v>
      </c>
      <c r="H607" s="29"/>
    </row>
    <row r="608" spans="1:8" s="22" customFormat="1" ht="15.9" customHeight="1">
      <c r="A608" s="27">
        <v>604</v>
      </c>
      <c r="B608" s="3" t="s">
        <v>4662</v>
      </c>
      <c r="C608" s="28" t="s">
        <v>4638</v>
      </c>
      <c r="D608" s="28" t="s">
        <v>4663</v>
      </c>
      <c r="E608" s="3" t="s">
        <v>4664</v>
      </c>
      <c r="F608" s="27">
        <v>2</v>
      </c>
      <c r="G608" s="28" t="s">
        <v>4335</v>
      </c>
      <c r="H608" s="29"/>
    </row>
    <row r="609" spans="1:8" s="22" customFormat="1" ht="15.9" customHeight="1">
      <c r="A609" s="27">
        <v>605</v>
      </c>
      <c r="B609" s="3" t="s">
        <v>1483</v>
      </c>
      <c r="C609" s="28" t="s">
        <v>371</v>
      </c>
      <c r="D609" s="28" t="s">
        <v>2404</v>
      </c>
      <c r="E609" s="3" t="s">
        <v>3320</v>
      </c>
      <c r="F609" s="27">
        <v>1</v>
      </c>
      <c r="G609" s="28" t="s">
        <v>371</v>
      </c>
      <c r="H609" s="29"/>
    </row>
    <row r="610" spans="1:8" s="22" customFormat="1" ht="15.9" customHeight="1">
      <c r="A610" s="27">
        <v>606</v>
      </c>
      <c r="B610" s="3" t="s">
        <v>1484</v>
      </c>
      <c r="C610" s="28" t="s">
        <v>371</v>
      </c>
      <c r="D610" s="28" t="s">
        <v>2405</v>
      </c>
      <c r="E610" s="3" t="s">
        <v>3321</v>
      </c>
      <c r="F610" s="27">
        <v>1</v>
      </c>
      <c r="G610" s="28" t="s">
        <v>371</v>
      </c>
      <c r="H610" s="29"/>
    </row>
    <row r="611" spans="1:8" s="22" customFormat="1" ht="15.9" customHeight="1">
      <c r="A611" s="27">
        <v>607</v>
      </c>
      <c r="B611" s="3" t="s">
        <v>1485</v>
      </c>
      <c r="C611" s="28" t="s">
        <v>371</v>
      </c>
      <c r="D611" s="28" t="s">
        <v>2406</v>
      </c>
      <c r="E611" s="3" t="s">
        <v>3322</v>
      </c>
      <c r="F611" s="27">
        <v>1</v>
      </c>
      <c r="G611" s="28" t="s">
        <v>371</v>
      </c>
      <c r="H611" s="29"/>
    </row>
    <row r="612" spans="1:8" s="22" customFormat="1" ht="15.9" customHeight="1">
      <c r="A612" s="27">
        <v>608</v>
      </c>
      <c r="B612" s="3" t="s">
        <v>1486</v>
      </c>
      <c r="C612" s="28" t="s">
        <v>371</v>
      </c>
      <c r="D612" s="28" t="s">
        <v>2407</v>
      </c>
      <c r="E612" s="3" t="s">
        <v>3323</v>
      </c>
      <c r="F612" s="27">
        <v>1</v>
      </c>
      <c r="G612" s="28" t="s">
        <v>371</v>
      </c>
      <c r="H612" s="29"/>
    </row>
    <row r="613" spans="1:8" s="22" customFormat="1" ht="15.9" customHeight="1">
      <c r="A613" s="27">
        <v>609</v>
      </c>
      <c r="B613" s="3" t="s">
        <v>1487</v>
      </c>
      <c r="C613" s="28" t="s">
        <v>371</v>
      </c>
      <c r="D613" s="28" t="s">
        <v>2408</v>
      </c>
      <c r="E613" s="3" t="s">
        <v>3324</v>
      </c>
      <c r="F613" s="27">
        <v>1</v>
      </c>
      <c r="G613" s="28" t="s">
        <v>371</v>
      </c>
      <c r="H613" s="29"/>
    </row>
    <row r="614" spans="1:8" s="22" customFormat="1" ht="15.9" customHeight="1">
      <c r="A614" s="27">
        <v>610</v>
      </c>
      <c r="B614" s="3" t="s">
        <v>4665</v>
      </c>
      <c r="C614" s="28" t="s">
        <v>4638</v>
      </c>
      <c r="D614" s="28" t="s">
        <v>4666</v>
      </c>
      <c r="E614" s="3" t="s">
        <v>4667</v>
      </c>
      <c r="F614" s="27">
        <v>2</v>
      </c>
      <c r="G614" s="28" t="s">
        <v>4335</v>
      </c>
      <c r="H614" s="29"/>
    </row>
    <row r="615" spans="1:8" s="22" customFormat="1" ht="15.9" customHeight="1">
      <c r="A615" s="27">
        <v>611</v>
      </c>
      <c r="B615" s="3" t="s">
        <v>1488</v>
      </c>
      <c r="C615" s="28" t="s">
        <v>371</v>
      </c>
      <c r="D615" s="28" t="s">
        <v>2409</v>
      </c>
      <c r="E615" s="3" t="s">
        <v>3325</v>
      </c>
      <c r="F615" s="27">
        <v>1</v>
      </c>
      <c r="G615" s="28" t="s">
        <v>371</v>
      </c>
      <c r="H615" s="29"/>
    </row>
    <row r="616" spans="1:8" s="22" customFormat="1" ht="15.9" customHeight="1">
      <c r="A616" s="27">
        <v>612</v>
      </c>
      <c r="B616" s="3" t="s">
        <v>1489</v>
      </c>
      <c r="C616" s="28" t="s">
        <v>371</v>
      </c>
      <c r="D616" s="28" t="s">
        <v>2410</v>
      </c>
      <c r="E616" s="3" t="s">
        <v>3326</v>
      </c>
      <c r="F616" s="27">
        <v>1</v>
      </c>
      <c r="G616" s="28" t="s">
        <v>371</v>
      </c>
      <c r="H616" s="29"/>
    </row>
    <row r="617" spans="1:8" s="22" customFormat="1" ht="15.9" customHeight="1">
      <c r="A617" s="27">
        <v>613</v>
      </c>
      <c r="B617" s="3" t="s">
        <v>1490</v>
      </c>
      <c r="C617" s="28" t="s">
        <v>371</v>
      </c>
      <c r="D617" s="28" t="s">
        <v>2411</v>
      </c>
      <c r="E617" s="3" t="s">
        <v>3327</v>
      </c>
      <c r="F617" s="27">
        <v>1</v>
      </c>
      <c r="G617" s="28" t="s">
        <v>371</v>
      </c>
      <c r="H617" s="29"/>
    </row>
    <row r="618" spans="1:8" s="22" customFormat="1" ht="15.9" customHeight="1">
      <c r="A618" s="27">
        <v>614</v>
      </c>
      <c r="B618" s="3" t="s">
        <v>1491</v>
      </c>
      <c r="C618" s="28" t="s">
        <v>371</v>
      </c>
      <c r="D618" s="28" t="s">
        <v>2412</v>
      </c>
      <c r="E618" s="3" t="s">
        <v>3328</v>
      </c>
      <c r="F618" s="27">
        <v>1</v>
      </c>
      <c r="G618" s="28" t="s">
        <v>371</v>
      </c>
      <c r="H618" s="29"/>
    </row>
    <row r="619" spans="1:8" s="22" customFormat="1" ht="15.9" customHeight="1">
      <c r="A619" s="27">
        <v>615</v>
      </c>
      <c r="B619" s="3" t="s">
        <v>1492</v>
      </c>
      <c r="C619" s="28" t="s">
        <v>371</v>
      </c>
      <c r="D619" s="28" t="s">
        <v>2413</v>
      </c>
      <c r="E619" s="3" t="s">
        <v>3329</v>
      </c>
      <c r="F619" s="27">
        <v>1</v>
      </c>
      <c r="G619" s="28" t="s">
        <v>371</v>
      </c>
      <c r="H619" s="29"/>
    </row>
    <row r="620" spans="1:8" s="22" customFormat="1" ht="15.9" customHeight="1">
      <c r="A620" s="27">
        <v>616</v>
      </c>
      <c r="B620" s="3" t="s">
        <v>1493</v>
      </c>
      <c r="C620" s="28" t="s">
        <v>371</v>
      </c>
      <c r="D620" s="28" t="s">
        <v>2414</v>
      </c>
      <c r="E620" s="3" t="s">
        <v>3330</v>
      </c>
      <c r="F620" s="27">
        <v>1</v>
      </c>
      <c r="G620" s="28" t="s">
        <v>371</v>
      </c>
      <c r="H620" s="29"/>
    </row>
    <row r="621" spans="1:8" s="22" customFormat="1" ht="15.9" customHeight="1">
      <c r="A621" s="27">
        <v>617</v>
      </c>
      <c r="B621" s="3" t="s">
        <v>1494</v>
      </c>
      <c r="C621" s="28" t="s">
        <v>371</v>
      </c>
      <c r="D621" s="28" t="s">
        <v>2415</v>
      </c>
      <c r="E621" s="3" t="s">
        <v>3331</v>
      </c>
      <c r="F621" s="27">
        <v>1</v>
      </c>
      <c r="G621" s="28" t="s">
        <v>371</v>
      </c>
      <c r="H621" s="29"/>
    </row>
    <row r="622" spans="1:8" s="22" customFormat="1" ht="15.9" customHeight="1">
      <c r="A622" s="27">
        <v>618</v>
      </c>
      <c r="B622" s="3" t="s">
        <v>1495</v>
      </c>
      <c r="C622" s="28" t="s">
        <v>371</v>
      </c>
      <c r="D622" s="28" t="s">
        <v>2416</v>
      </c>
      <c r="E622" s="3" t="s">
        <v>3332</v>
      </c>
      <c r="F622" s="27">
        <v>1</v>
      </c>
      <c r="G622" s="28" t="s">
        <v>371</v>
      </c>
      <c r="H622" s="29"/>
    </row>
    <row r="623" spans="1:8" s="22" customFormat="1" ht="15.9" customHeight="1">
      <c r="A623" s="27">
        <v>619</v>
      </c>
      <c r="B623" s="3" t="s">
        <v>1496</v>
      </c>
      <c r="C623" s="28" t="s">
        <v>371</v>
      </c>
      <c r="D623" s="28" t="s">
        <v>2417</v>
      </c>
      <c r="E623" s="3" t="s">
        <v>3333</v>
      </c>
      <c r="F623" s="27">
        <v>1</v>
      </c>
      <c r="G623" s="28" t="s">
        <v>371</v>
      </c>
      <c r="H623" s="29"/>
    </row>
    <row r="624" spans="1:8" s="22" customFormat="1" ht="15.9" customHeight="1">
      <c r="A624" s="27">
        <v>620</v>
      </c>
      <c r="B624" s="3" t="s">
        <v>1497</v>
      </c>
      <c r="C624" s="28" t="s">
        <v>371</v>
      </c>
      <c r="D624" s="28" t="s">
        <v>2418</v>
      </c>
      <c r="E624" s="3" t="s">
        <v>3334</v>
      </c>
      <c r="F624" s="27">
        <v>1</v>
      </c>
      <c r="G624" s="28" t="s">
        <v>371</v>
      </c>
      <c r="H624" s="29"/>
    </row>
    <row r="625" spans="1:8" s="22" customFormat="1" ht="15.9" customHeight="1">
      <c r="A625" s="27">
        <v>621</v>
      </c>
      <c r="B625" s="3" t="s">
        <v>1498</v>
      </c>
      <c r="C625" s="28" t="s">
        <v>371</v>
      </c>
      <c r="D625" s="28" t="s">
        <v>2419</v>
      </c>
      <c r="E625" s="3" t="s">
        <v>3335</v>
      </c>
      <c r="F625" s="27">
        <v>1</v>
      </c>
      <c r="G625" s="28" t="s">
        <v>371</v>
      </c>
      <c r="H625" s="29"/>
    </row>
    <row r="626" spans="1:8" s="22" customFormat="1" ht="15.9" customHeight="1">
      <c r="A626" s="27">
        <v>622</v>
      </c>
      <c r="B626" s="3" t="s">
        <v>1499</v>
      </c>
      <c r="C626" s="28" t="s">
        <v>371</v>
      </c>
      <c r="D626" s="28" t="s">
        <v>2420</v>
      </c>
      <c r="E626" s="3" t="s">
        <v>3336</v>
      </c>
      <c r="F626" s="27">
        <v>1</v>
      </c>
      <c r="G626" s="28" t="s">
        <v>371</v>
      </c>
      <c r="H626" s="29"/>
    </row>
    <row r="627" spans="1:8" s="22" customFormat="1" ht="15.9" customHeight="1">
      <c r="A627" s="27">
        <v>623</v>
      </c>
      <c r="B627" s="3" t="s">
        <v>1500</v>
      </c>
      <c r="C627" s="28" t="s">
        <v>371</v>
      </c>
      <c r="D627" s="28" t="s">
        <v>2421</v>
      </c>
      <c r="E627" s="3" t="s">
        <v>3337</v>
      </c>
      <c r="F627" s="27">
        <v>1</v>
      </c>
      <c r="G627" s="28" t="s">
        <v>371</v>
      </c>
      <c r="H627" s="29"/>
    </row>
    <row r="628" spans="1:8" s="22" customFormat="1" ht="15.9" customHeight="1">
      <c r="A628" s="27">
        <v>624</v>
      </c>
      <c r="B628" s="3" t="s">
        <v>1501</v>
      </c>
      <c r="C628" s="28" t="s">
        <v>371</v>
      </c>
      <c r="D628" s="28" t="s">
        <v>2422</v>
      </c>
      <c r="E628" s="3" t="s">
        <v>3338</v>
      </c>
      <c r="F628" s="27">
        <v>1</v>
      </c>
      <c r="G628" s="28" t="s">
        <v>371</v>
      </c>
      <c r="H628" s="29"/>
    </row>
    <row r="629" spans="1:8" s="22" customFormat="1" ht="15.9" customHeight="1">
      <c r="A629" s="27">
        <v>625</v>
      </c>
      <c r="B629" s="3" t="s">
        <v>1502</v>
      </c>
      <c r="C629" s="28" t="s">
        <v>371</v>
      </c>
      <c r="D629" s="28" t="s">
        <v>2423</v>
      </c>
      <c r="E629" s="3" t="s">
        <v>3339</v>
      </c>
      <c r="F629" s="27">
        <v>1</v>
      </c>
      <c r="G629" s="28" t="s">
        <v>371</v>
      </c>
      <c r="H629" s="29"/>
    </row>
    <row r="630" spans="1:8" s="22" customFormat="1" ht="15.9" customHeight="1">
      <c r="A630" s="27">
        <v>626</v>
      </c>
      <c r="B630" s="3" t="s">
        <v>1503</v>
      </c>
      <c r="C630" s="28" t="s">
        <v>371</v>
      </c>
      <c r="D630" s="28" t="s">
        <v>2424</v>
      </c>
      <c r="E630" s="3" t="s">
        <v>3340</v>
      </c>
      <c r="F630" s="27">
        <v>1</v>
      </c>
      <c r="G630" s="28" t="s">
        <v>371</v>
      </c>
      <c r="H630" s="29"/>
    </row>
    <row r="631" spans="1:8" s="22" customFormat="1" ht="15.9" customHeight="1">
      <c r="A631" s="27">
        <v>627</v>
      </c>
      <c r="B631" s="3" t="s">
        <v>1504</v>
      </c>
      <c r="C631" s="28" t="s">
        <v>371</v>
      </c>
      <c r="D631" s="28" t="s">
        <v>2425</v>
      </c>
      <c r="E631" s="3" t="s">
        <v>3341</v>
      </c>
      <c r="F631" s="27">
        <v>1</v>
      </c>
      <c r="G631" s="28" t="s">
        <v>371</v>
      </c>
      <c r="H631" s="29"/>
    </row>
    <row r="632" spans="1:8" s="22" customFormat="1" ht="15.9" customHeight="1">
      <c r="A632" s="27">
        <v>628</v>
      </c>
      <c r="B632" s="3" t="s">
        <v>1505</v>
      </c>
      <c r="C632" s="28" t="s">
        <v>371</v>
      </c>
      <c r="D632" s="28" t="s">
        <v>2426</v>
      </c>
      <c r="E632" s="3" t="s">
        <v>3342</v>
      </c>
      <c r="F632" s="27">
        <v>1</v>
      </c>
      <c r="G632" s="28" t="s">
        <v>371</v>
      </c>
      <c r="H632" s="29"/>
    </row>
    <row r="633" spans="1:8" s="22" customFormat="1" ht="15.9" customHeight="1">
      <c r="A633" s="27">
        <v>629</v>
      </c>
      <c r="B633" s="3" t="s">
        <v>1506</v>
      </c>
      <c r="C633" s="28" t="s">
        <v>371</v>
      </c>
      <c r="D633" s="28" t="s">
        <v>2427</v>
      </c>
      <c r="E633" s="3" t="s">
        <v>3343</v>
      </c>
      <c r="F633" s="27">
        <v>1</v>
      </c>
      <c r="G633" s="28" t="s">
        <v>371</v>
      </c>
      <c r="H633" s="29"/>
    </row>
    <row r="634" spans="1:8" s="22" customFormat="1" ht="15.9" customHeight="1">
      <c r="A634" s="27">
        <v>630</v>
      </c>
      <c r="B634" s="3" t="s">
        <v>1507</v>
      </c>
      <c r="C634" s="28" t="s">
        <v>371</v>
      </c>
      <c r="D634" s="28" t="s">
        <v>2428</v>
      </c>
      <c r="E634" s="3" t="s">
        <v>3344</v>
      </c>
      <c r="F634" s="27">
        <v>1</v>
      </c>
      <c r="G634" s="28" t="s">
        <v>371</v>
      </c>
      <c r="H634" s="29"/>
    </row>
    <row r="635" spans="1:8" s="22" customFormat="1" ht="15.9" customHeight="1">
      <c r="A635" s="27">
        <v>631</v>
      </c>
      <c r="B635" s="3" t="s">
        <v>1508</v>
      </c>
      <c r="C635" s="28" t="s">
        <v>371</v>
      </c>
      <c r="D635" s="28" t="s">
        <v>2429</v>
      </c>
      <c r="E635" s="3" t="s">
        <v>3345</v>
      </c>
      <c r="F635" s="27">
        <v>1</v>
      </c>
      <c r="G635" s="28" t="s">
        <v>371</v>
      </c>
      <c r="H635" s="29"/>
    </row>
    <row r="636" spans="1:8" s="22" customFormat="1" ht="15.9" customHeight="1">
      <c r="A636" s="27">
        <v>632</v>
      </c>
      <c r="B636" s="3" t="s">
        <v>1509</v>
      </c>
      <c r="C636" s="28" t="s">
        <v>371</v>
      </c>
      <c r="D636" s="28" t="s">
        <v>2430</v>
      </c>
      <c r="E636" s="3" t="s">
        <v>3346</v>
      </c>
      <c r="F636" s="27">
        <v>1</v>
      </c>
      <c r="G636" s="28" t="s">
        <v>371</v>
      </c>
      <c r="H636" s="29"/>
    </row>
    <row r="637" spans="1:8" s="22" customFormat="1" ht="15.9" customHeight="1">
      <c r="A637" s="27">
        <v>633</v>
      </c>
      <c r="B637" s="3" t="s">
        <v>1510</v>
      </c>
      <c r="C637" s="28" t="s">
        <v>371</v>
      </c>
      <c r="D637" s="28" t="s">
        <v>2431</v>
      </c>
      <c r="E637" s="3" t="s">
        <v>3347</v>
      </c>
      <c r="F637" s="27">
        <v>1</v>
      </c>
      <c r="G637" s="28" t="s">
        <v>371</v>
      </c>
      <c r="H637" s="29"/>
    </row>
    <row r="638" spans="1:8" s="22" customFormat="1" ht="15.9" customHeight="1">
      <c r="A638" s="27">
        <v>634</v>
      </c>
      <c r="B638" s="3" t="s">
        <v>1511</v>
      </c>
      <c r="C638" s="28" t="s">
        <v>371</v>
      </c>
      <c r="D638" s="28" t="s">
        <v>2432</v>
      </c>
      <c r="E638" s="3" t="s">
        <v>3348</v>
      </c>
      <c r="F638" s="27">
        <v>1</v>
      </c>
      <c r="G638" s="28" t="s">
        <v>371</v>
      </c>
      <c r="H638" s="29"/>
    </row>
    <row r="639" spans="1:8" s="22" customFormat="1" ht="15.9" customHeight="1">
      <c r="A639" s="27">
        <v>635</v>
      </c>
      <c r="B639" s="3" t="s">
        <v>1512</v>
      </c>
      <c r="C639" s="28" t="s">
        <v>371</v>
      </c>
      <c r="D639" s="28" t="s">
        <v>2433</v>
      </c>
      <c r="E639" s="3" t="s">
        <v>3349</v>
      </c>
      <c r="F639" s="27">
        <v>1</v>
      </c>
      <c r="G639" s="28" t="s">
        <v>371</v>
      </c>
      <c r="H639" s="29"/>
    </row>
    <row r="640" spans="1:8" s="22" customFormat="1" ht="15.9" customHeight="1">
      <c r="A640" s="27">
        <v>636</v>
      </c>
      <c r="B640" s="3" t="s">
        <v>1513</v>
      </c>
      <c r="C640" s="28" t="s">
        <v>371</v>
      </c>
      <c r="D640" s="28" t="s">
        <v>2434</v>
      </c>
      <c r="E640" s="3" t="s">
        <v>3350</v>
      </c>
      <c r="F640" s="27">
        <v>1</v>
      </c>
      <c r="G640" s="28" t="s">
        <v>371</v>
      </c>
      <c r="H640" s="29"/>
    </row>
    <row r="641" spans="1:8" s="22" customFormat="1" ht="15.9" customHeight="1">
      <c r="A641" s="27">
        <v>637</v>
      </c>
      <c r="B641" s="3" t="s">
        <v>1514</v>
      </c>
      <c r="C641" s="28" t="s">
        <v>371</v>
      </c>
      <c r="D641" s="28" t="s">
        <v>2435</v>
      </c>
      <c r="E641" s="3" t="s">
        <v>3351</v>
      </c>
      <c r="F641" s="27">
        <v>1</v>
      </c>
      <c r="G641" s="28" t="s">
        <v>371</v>
      </c>
      <c r="H641" s="29"/>
    </row>
    <row r="642" spans="1:8" s="22" customFormat="1" ht="15.9" customHeight="1">
      <c r="A642" s="27">
        <v>638</v>
      </c>
      <c r="B642" s="3" t="s">
        <v>1515</v>
      </c>
      <c r="C642" s="28" t="s">
        <v>371</v>
      </c>
      <c r="D642" s="28" t="s">
        <v>2436</v>
      </c>
      <c r="E642" s="3" t="s">
        <v>3352</v>
      </c>
      <c r="F642" s="27">
        <v>1</v>
      </c>
      <c r="G642" s="28" t="s">
        <v>371</v>
      </c>
      <c r="H642" s="29"/>
    </row>
    <row r="643" spans="1:8" s="22" customFormat="1" ht="15.9" customHeight="1">
      <c r="A643" s="27">
        <v>639</v>
      </c>
      <c r="B643" s="3" t="s">
        <v>1516</v>
      </c>
      <c r="C643" s="28" t="s">
        <v>371</v>
      </c>
      <c r="D643" s="28" t="s">
        <v>2437</v>
      </c>
      <c r="E643" s="3" t="s">
        <v>3353</v>
      </c>
      <c r="F643" s="27">
        <v>1</v>
      </c>
      <c r="G643" s="28" t="s">
        <v>371</v>
      </c>
      <c r="H643" s="29"/>
    </row>
    <row r="644" spans="1:8" s="22" customFormat="1" ht="15.9" customHeight="1">
      <c r="A644" s="27">
        <v>640</v>
      </c>
      <c r="B644" s="3" t="s">
        <v>4668</v>
      </c>
      <c r="C644" s="28" t="s">
        <v>2262</v>
      </c>
      <c r="D644" s="28" t="s">
        <v>4669</v>
      </c>
      <c r="E644" s="3" t="s">
        <v>4670</v>
      </c>
      <c r="F644" s="27">
        <v>1</v>
      </c>
      <c r="G644" s="28" t="s">
        <v>4335</v>
      </c>
      <c r="H644" s="29"/>
    </row>
    <row r="645" spans="1:8" s="22" customFormat="1" ht="15.9" customHeight="1">
      <c r="A645" s="27">
        <v>641</v>
      </c>
      <c r="B645" s="3" t="s">
        <v>1517</v>
      </c>
      <c r="C645" s="28" t="s">
        <v>371</v>
      </c>
      <c r="D645" s="28" t="s">
        <v>2438</v>
      </c>
      <c r="E645" s="3" t="s">
        <v>3354</v>
      </c>
      <c r="F645" s="27">
        <v>1</v>
      </c>
      <c r="G645" s="28" t="s">
        <v>371</v>
      </c>
      <c r="H645" s="29"/>
    </row>
    <row r="646" spans="1:8" s="22" customFormat="1" ht="15.9" customHeight="1">
      <c r="A646" s="27">
        <v>642</v>
      </c>
      <c r="B646" s="3" t="s">
        <v>1518</v>
      </c>
      <c r="C646" s="28" t="s">
        <v>371</v>
      </c>
      <c r="D646" s="28" t="s">
        <v>2439</v>
      </c>
      <c r="E646" s="3" t="s">
        <v>3355</v>
      </c>
      <c r="F646" s="27">
        <v>1</v>
      </c>
      <c r="G646" s="28" t="s">
        <v>371</v>
      </c>
      <c r="H646" s="29"/>
    </row>
    <row r="647" spans="1:8" s="22" customFormat="1" ht="15.9" customHeight="1">
      <c r="A647" s="27">
        <v>643</v>
      </c>
      <c r="B647" s="3" t="s">
        <v>1519</v>
      </c>
      <c r="C647" s="28" t="s">
        <v>371</v>
      </c>
      <c r="D647" s="28" t="s">
        <v>2440</v>
      </c>
      <c r="E647" s="3" t="s">
        <v>3356</v>
      </c>
      <c r="F647" s="27">
        <v>1</v>
      </c>
      <c r="G647" s="28" t="s">
        <v>371</v>
      </c>
      <c r="H647" s="29"/>
    </row>
    <row r="648" spans="1:8" s="22" customFormat="1" ht="15.9" customHeight="1">
      <c r="A648" s="27">
        <v>644</v>
      </c>
      <c r="B648" s="3" t="s">
        <v>1520</v>
      </c>
      <c r="C648" s="28" t="s">
        <v>371</v>
      </c>
      <c r="D648" s="28" t="s">
        <v>2441</v>
      </c>
      <c r="E648" s="3" t="s">
        <v>3357</v>
      </c>
      <c r="F648" s="27">
        <v>1</v>
      </c>
      <c r="G648" s="28" t="s">
        <v>371</v>
      </c>
      <c r="H648" s="29"/>
    </row>
    <row r="649" spans="1:8" s="22" customFormat="1" ht="15.9" customHeight="1">
      <c r="A649" s="27">
        <v>645</v>
      </c>
      <c r="B649" s="3" t="s">
        <v>1521</v>
      </c>
      <c r="C649" s="28" t="s">
        <v>371</v>
      </c>
      <c r="D649" s="28" t="s">
        <v>2442</v>
      </c>
      <c r="E649" s="3" t="s">
        <v>3358</v>
      </c>
      <c r="F649" s="27">
        <v>1</v>
      </c>
      <c r="G649" s="28" t="s">
        <v>371</v>
      </c>
      <c r="H649" s="29"/>
    </row>
    <row r="650" spans="1:8" s="22" customFormat="1" ht="15.9" customHeight="1">
      <c r="A650" s="27">
        <v>646</v>
      </c>
      <c r="B650" s="3" t="s">
        <v>1522</v>
      </c>
      <c r="C650" s="28" t="s">
        <v>371</v>
      </c>
      <c r="D650" s="28" t="s">
        <v>2443</v>
      </c>
      <c r="E650" s="3" t="s">
        <v>3359</v>
      </c>
      <c r="F650" s="27">
        <v>1</v>
      </c>
      <c r="G650" s="28" t="s">
        <v>371</v>
      </c>
      <c r="H650" s="29"/>
    </row>
    <row r="651" spans="1:8" s="22" customFormat="1" ht="15.9" customHeight="1">
      <c r="A651" s="27">
        <v>647</v>
      </c>
      <c r="B651" s="3" t="s">
        <v>1523</v>
      </c>
      <c r="C651" s="28" t="s">
        <v>371</v>
      </c>
      <c r="D651" s="28" t="s">
        <v>2444</v>
      </c>
      <c r="E651" s="3" t="s">
        <v>3360</v>
      </c>
      <c r="F651" s="27">
        <v>1</v>
      </c>
      <c r="G651" s="28" t="s">
        <v>371</v>
      </c>
      <c r="H651" s="29"/>
    </row>
    <row r="652" spans="1:8" s="22" customFormat="1" ht="15.9" customHeight="1">
      <c r="A652" s="27">
        <v>648</v>
      </c>
      <c r="B652" s="3" t="s">
        <v>1524</v>
      </c>
      <c r="C652" s="28" t="s">
        <v>371</v>
      </c>
      <c r="D652" s="28" t="s">
        <v>2445</v>
      </c>
      <c r="E652" s="3" t="s">
        <v>3361</v>
      </c>
      <c r="F652" s="27">
        <v>1</v>
      </c>
      <c r="G652" s="28" t="s">
        <v>371</v>
      </c>
      <c r="H652" s="29"/>
    </row>
    <row r="653" spans="1:8" s="22" customFormat="1" ht="15.9" customHeight="1">
      <c r="A653" s="27">
        <v>649</v>
      </c>
      <c r="B653" s="3" t="s">
        <v>1525</v>
      </c>
      <c r="C653" s="28" t="s">
        <v>371</v>
      </c>
      <c r="D653" s="28" t="s">
        <v>2446</v>
      </c>
      <c r="E653" s="3" t="s">
        <v>3362</v>
      </c>
      <c r="F653" s="27">
        <v>1</v>
      </c>
      <c r="G653" s="28" t="s">
        <v>371</v>
      </c>
      <c r="H653" s="29"/>
    </row>
    <row r="654" spans="1:8" s="22" customFormat="1" ht="15.9" customHeight="1">
      <c r="A654" s="27">
        <v>650</v>
      </c>
      <c r="B654" s="3" t="s">
        <v>1526</v>
      </c>
      <c r="C654" s="28" t="s">
        <v>371</v>
      </c>
      <c r="D654" s="28" t="s">
        <v>2447</v>
      </c>
      <c r="E654" s="3" t="s">
        <v>3363</v>
      </c>
      <c r="F654" s="27">
        <v>1</v>
      </c>
      <c r="G654" s="28" t="s">
        <v>371</v>
      </c>
      <c r="H654" s="29"/>
    </row>
    <row r="655" spans="1:8" s="22" customFormat="1" ht="15.9" customHeight="1">
      <c r="A655" s="27">
        <v>651</v>
      </c>
      <c r="B655" s="3" t="s">
        <v>1527</v>
      </c>
      <c r="C655" s="28" t="s">
        <v>371</v>
      </c>
      <c r="D655" s="28" t="s">
        <v>2448</v>
      </c>
      <c r="E655" s="3" t="s">
        <v>3364</v>
      </c>
      <c r="F655" s="27">
        <v>1</v>
      </c>
      <c r="G655" s="28" t="s">
        <v>371</v>
      </c>
      <c r="H655" s="29"/>
    </row>
    <row r="656" spans="1:8" s="22" customFormat="1" ht="15.9" customHeight="1">
      <c r="A656" s="27">
        <v>652</v>
      </c>
      <c r="B656" s="3" t="s">
        <v>1528</v>
      </c>
      <c r="C656" s="28" t="s">
        <v>371</v>
      </c>
      <c r="D656" s="28" t="s">
        <v>2449</v>
      </c>
      <c r="E656" s="3" t="s">
        <v>3365</v>
      </c>
      <c r="F656" s="27">
        <v>1</v>
      </c>
      <c r="G656" s="28" t="s">
        <v>371</v>
      </c>
      <c r="H656" s="29"/>
    </row>
    <row r="657" spans="1:8" s="22" customFormat="1" ht="15.9" customHeight="1">
      <c r="A657" s="27">
        <v>653</v>
      </c>
      <c r="B657" s="3" t="s">
        <v>1529</v>
      </c>
      <c r="C657" s="28" t="s">
        <v>371</v>
      </c>
      <c r="D657" s="28" t="s">
        <v>2450</v>
      </c>
      <c r="E657" s="3" t="s">
        <v>3366</v>
      </c>
      <c r="F657" s="27">
        <v>1</v>
      </c>
      <c r="G657" s="28" t="s">
        <v>371</v>
      </c>
      <c r="H657" s="29"/>
    </row>
    <row r="658" spans="1:8" s="22" customFormat="1" ht="15.9" customHeight="1">
      <c r="A658" s="27">
        <v>654</v>
      </c>
      <c r="B658" s="3" t="s">
        <v>4671</v>
      </c>
      <c r="C658" s="28" t="s">
        <v>4638</v>
      </c>
      <c r="D658" s="28" t="s">
        <v>4672</v>
      </c>
      <c r="E658" s="3" t="s">
        <v>4673</v>
      </c>
      <c r="F658" s="27">
        <v>2</v>
      </c>
      <c r="G658" s="28" t="s">
        <v>4335</v>
      </c>
      <c r="H658" s="29"/>
    </row>
    <row r="659" spans="1:8" s="22" customFormat="1" ht="15.9" customHeight="1">
      <c r="A659" s="27">
        <v>655</v>
      </c>
      <c r="B659" s="3" t="s">
        <v>1530</v>
      </c>
      <c r="C659" s="28" t="s">
        <v>371</v>
      </c>
      <c r="D659" s="28" t="s">
        <v>2451</v>
      </c>
      <c r="E659" s="3" t="s">
        <v>3367</v>
      </c>
      <c r="F659" s="27">
        <v>1</v>
      </c>
      <c r="G659" s="28" t="s">
        <v>371</v>
      </c>
      <c r="H659" s="29"/>
    </row>
    <row r="660" spans="1:8" s="22" customFormat="1" ht="15.9" customHeight="1">
      <c r="A660" s="27">
        <v>656</v>
      </c>
      <c r="B660" s="3" t="s">
        <v>1531</v>
      </c>
      <c r="C660" s="28" t="s">
        <v>371</v>
      </c>
      <c r="D660" s="28" t="s">
        <v>2452</v>
      </c>
      <c r="E660" s="3" t="s">
        <v>3368</v>
      </c>
      <c r="F660" s="27">
        <v>1</v>
      </c>
      <c r="G660" s="28" t="s">
        <v>371</v>
      </c>
      <c r="H660" s="29"/>
    </row>
    <row r="661" spans="1:8" s="22" customFormat="1" ht="15.9" customHeight="1">
      <c r="A661" s="27">
        <v>657</v>
      </c>
      <c r="B661" s="3" t="s">
        <v>1532</v>
      </c>
      <c r="C661" s="28" t="s">
        <v>371</v>
      </c>
      <c r="D661" s="28" t="s">
        <v>2453</v>
      </c>
      <c r="E661" s="3" t="s">
        <v>3369</v>
      </c>
      <c r="F661" s="27">
        <v>1</v>
      </c>
      <c r="G661" s="28" t="s">
        <v>371</v>
      </c>
      <c r="H661" s="29"/>
    </row>
    <row r="662" spans="1:8" s="22" customFormat="1" ht="15.9" customHeight="1">
      <c r="A662" s="27">
        <v>658</v>
      </c>
      <c r="B662" s="3" t="s">
        <v>1533</v>
      </c>
      <c r="C662" s="28" t="s">
        <v>371</v>
      </c>
      <c r="D662" s="28" t="s">
        <v>2454</v>
      </c>
      <c r="E662" s="3" t="s">
        <v>3370</v>
      </c>
      <c r="F662" s="27">
        <v>1</v>
      </c>
      <c r="G662" s="28" t="s">
        <v>371</v>
      </c>
      <c r="H662" s="29"/>
    </row>
    <row r="663" spans="1:8" s="22" customFormat="1" ht="15.9" customHeight="1">
      <c r="A663" s="27">
        <v>659</v>
      </c>
      <c r="B663" s="3" t="s">
        <v>1534</v>
      </c>
      <c r="C663" s="28" t="s">
        <v>371</v>
      </c>
      <c r="D663" s="28" t="s">
        <v>2455</v>
      </c>
      <c r="E663" s="3" t="s">
        <v>3371</v>
      </c>
      <c r="F663" s="27">
        <v>1</v>
      </c>
      <c r="G663" s="28" t="s">
        <v>371</v>
      </c>
      <c r="H663" s="29"/>
    </row>
    <row r="664" spans="1:8" s="22" customFormat="1" ht="15.9" customHeight="1">
      <c r="A664" s="27">
        <v>660</v>
      </c>
      <c r="B664" s="3" t="s">
        <v>4674</v>
      </c>
      <c r="C664" s="28" t="s">
        <v>4646</v>
      </c>
      <c r="D664" s="28" t="s">
        <v>4675</v>
      </c>
      <c r="E664" s="3" t="s">
        <v>4676</v>
      </c>
      <c r="F664" s="27">
        <v>1</v>
      </c>
      <c r="G664" s="28" t="s">
        <v>4335</v>
      </c>
      <c r="H664" s="29"/>
    </row>
    <row r="665" spans="1:8" s="22" customFormat="1" ht="15.9" customHeight="1">
      <c r="A665" s="27">
        <v>661</v>
      </c>
      <c r="B665" s="3" t="s">
        <v>1535</v>
      </c>
      <c r="C665" s="28" t="s">
        <v>371</v>
      </c>
      <c r="D665" s="28" t="s">
        <v>2456</v>
      </c>
      <c r="E665" s="3" t="s">
        <v>3372</v>
      </c>
      <c r="F665" s="27">
        <v>1</v>
      </c>
      <c r="G665" s="28" t="s">
        <v>371</v>
      </c>
      <c r="H665" s="29"/>
    </row>
    <row r="666" spans="1:8" s="22" customFormat="1" ht="15.9" customHeight="1">
      <c r="A666" s="27">
        <v>662</v>
      </c>
      <c r="B666" s="3" t="s">
        <v>1536</v>
      </c>
      <c r="C666" s="28" t="s">
        <v>371</v>
      </c>
      <c r="D666" s="28" t="s">
        <v>2457</v>
      </c>
      <c r="E666" s="3" t="s">
        <v>3373</v>
      </c>
      <c r="F666" s="27">
        <v>1</v>
      </c>
      <c r="G666" s="28" t="s">
        <v>371</v>
      </c>
      <c r="H666" s="29"/>
    </row>
    <row r="667" spans="1:8" s="22" customFormat="1" ht="15.9" customHeight="1">
      <c r="A667" s="27">
        <v>663</v>
      </c>
      <c r="B667" s="3" t="s">
        <v>1537</v>
      </c>
      <c r="C667" s="28" t="s">
        <v>371</v>
      </c>
      <c r="D667" s="28" t="s">
        <v>2458</v>
      </c>
      <c r="E667" s="3" t="s">
        <v>3374</v>
      </c>
      <c r="F667" s="27">
        <v>1</v>
      </c>
      <c r="G667" s="28" t="s">
        <v>371</v>
      </c>
      <c r="H667" s="29"/>
    </row>
    <row r="668" spans="1:8" s="22" customFormat="1" ht="15.9" customHeight="1">
      <c r="A668" s="27">
        <v>664</v>
      </c>
      <c r="B668" s="3" t="s">
        <v>1538</v>
      </c>
      <c r="C668" s="28" t="s">
        <v>371</v>
      </c>
      <c r="D668" s="28" t="s">
        <v>2459</v>
      </c>
      <c r="E668" s="3" t="s">
        <v>3375</v>
      </c>
      <c r="F668" s="27">
        <v>1</v>
      </c>
      <c r="G668" s="28" t="s">
        <v>371</v>
      </c>
      <c r="H668" s="29"/>
    </row>
    <row r="669" spans="1:8" s="22" customFormat="1" ht="15.9" customHeight="1">
      <c r="A669" s="27">
        <v>665</v>
      </c>
      <c r="B669" s="3" t="s">
        <v>1539</v>
      </c>
      <c r="C669" s="28" t="s">
        <v>371</v>
      </c>
      <c r="D669" s="28" t="s">
        <v>2460</v>
      </c>
      <c r="E669" s="3" t="s">
        <v>3376</v>
      </c>
      <c r="F669" s="27">
        <v>1</v>
      </c>
      <c r="G669" s="28" t="s">
        <v>371</v>
      </c>
      <c r="H669" s="29"/>
    </row>
    <row r="670" spans="1:8" s="22" customFormat="1" ht="15.9" customHeight="1">
      <c r="A670" s="27">
        <v>666</v>
      </c>
      <c r="B670" s="3" t="s">
        <v>1540</v>
      </c>
      <c r="C670" s="28" t="s">
        <v>371</v>
      </c>
      <c r="D670" s="28" t="s">
        <v>2461</v>
      </c>
      <c r="E670" s="3" t="s">
        <v>3377</v>
      </c>
      <c r="F670" s="27">
        <v>1</v>
      </c>
      <c r="G670" s="28" t="s">
        <v>371</v>
      </c>
      <c r="H670" s="29"/>
    </row>
    <row r="671" spans="1:8" s="22" customFormat="1" ht="15.9" customHeight="1">
      <c r="A671" s="27">
        <v>667</v>
      </c>
      <c r="B671" s="3" t="s">
        <v>1541</v>
      </c>
      <c r="C671" s="28" t="s">
        <v>371</v>
      </c>
      <c r="D671" s="28" t="s">
        <v>2462</v>
      </c>
      <c r="E671" s="3" t="s">
        <v>3378</v>
      </c>
      <c r="F671" s="27">
        <v>1</v>
      </c>
      <c r="G671" s="28" t="s">
        <v>371</v>
      </c>
      <c r="H671" s="29"/>
    </row>
    <row r="672" spans="1:8" s="22" customFormat="1" ht="15.9" customHeight="1">
      <c r="A672" s="27">
        <v>668</v>
      </c>
      <c r="B672" s="3" t="s">
        <v>1542</v>
      </c>
      <c r="C672" s="28" t="s">
        <v>371</v>
      </c>
      <c r="D672" s="28" t="s">
        <v>2463</v>
      </c>
      <c r="E672" s="3" t="s">
        <v>3379</v>
      </c>
      <c r="F672" s="27">
        <v>1</v>
      </c>
      <c r="G672" s="28" t="s">
        <v>371</v>
      </c>
      <c r="H672" s="29"/>
    </row>
    <row r="673" spans="1:8" s="22" customFormat="1" ht="15.9" customHeight="1">
      <c r="A673" s="27">
        <v>669</v>
      </c>
      <c r="B673" s="3" t="s">
        <v>1543</v>
      </c>
      <c r="C673" s="28" t="s">
        <v>371</v>
      </c>
      <c r="D673" s="28" t="s">
        <v>2464</v>
      </c>
      <c r="E673" s="3" t="s">
        <v>3380</v>
      </c>
      <c r="F673" s="27">
        <v>1</v>
      </c>
      <c r="G673" s="28" t="s">
        <v>371</v>
      </c>
      <c r="H673" s="29"/>
    </row>
    <row r="674" spans="1:8" s="22" customFormat="1" ht="15.9" customHeight="1">
      <c r="A674" s="27">
        <v>670</v>
      </c>
      <c r="B674" s="3" t="s">
        <v>1544</v>
      </c>
      <c r="C674" s="28" t="s">
        <v>371</v>
      </c>
      <c r="D674" s="28" t="s">
        <v>2465</v>
      </c>
      <c r="E674" s="3" t="s">
        <v>3381</v>
      </c>
      <c r="F674" s="27">
        <v>1</v>
      </c>
      <c r="G674" s="28" t="s">
        <v>371</v>
      </c>
      <c r="H674" s="29"/>
    </row>
    <row r="675" spans="1:8" s="22" customFormat="1" ht="15.9" customHeight="1">
      <c r="A675" s="27">
        <v>671</v>
      </c>
      <c r="B675" s="3" t="s">
        <v>1545</v>
      </c>
      <c r="C675" s="28" t="s">
        <v>371</v>
      </c>
      <c r="D675" s="28" t="s">
        <v>2466</v>
      </c>
      <c r="E675" s="3" t="s">
        <v>3382</v>
      </c>
      <c r="F675" s="27">
        <v>1</v>
      </c>
      <c r="G675" s="28" t="s">
        <v>371</v>
      </c>
      <c r="H675" s="29"/>
    </row>
    <row r="676" spans="1:8" s="22" customFormat="1" ht="15.9" customHeight="1">
      <c r="A676" s="27">
        <v>672</v>
      </c>
      <c r="B676" s="3" t="s">
        <v>1546</v>
      </c>
      <c r="C676" s="28" t="s">
        <v>371</v>
      </c>
      <c r="D676" s="28" t="s">
        <v>2467</v>
      </c>
      <c r="E676" s="3" t="s">
        <v>3383</v>
      </c>
      <c r="F676" s="27">
        <v>1</v>
      </c>
      <c r="G676" s="28" t="s">
        <v>371</v>
      </c>
      <c r="H676" s="29"/>
    </row>
    <row r="677" spans="1:8" s="22" customFormat="1" ht="15.9" customHeight="1">
      <c r="A677" s="27">
        <v>673</v>
      </c>
      <c r="B677" s="3" t="s">
        <v>1547</v>
      </c>
      <c r="C677" s="28" t="s">
        <v>371</v>
      </c>
      <c r="D677" s="28" t="s">
        <v>2468</v>
      </c>
      <c r="E677" s="3" t="s">
        <v>3384</v>
      </c>
      <c r="F677" s="27">
        <v>1</v>
      </c>
      <c r="G677" s="28" t="s">
        <v>371</v>
      </c>
      <c r="H677" s="29"/>
    </row>
    <row r="678" spans="1:8" s="22" customFormat="1" ht="15.9" customHeight="1">
      <c r="A678" s="27">
        <v>674</v>
      </c>
      <c r="B678" s="3" t="s">
        <v>1548</v>
      </c>
      <c r="C678" s="28" t="s">
        <v>371</v>
      </c>
      <c r="D678" s="28" t="s">
        <v>2469</v>
      </c>
      <c r="E678" s="3" t="s">
        <v>3385</v>
      </c>
      <c r="F678" s="27">
        <v>1</v>
      </c>
      <c r="G678" s="28" t="s">
        <v>371</v>
      </c>
      <c r="H678" s="29"/>
    </row>
    <row r="679" spans="1:8" s="22" customFormat="1" ht="15.9" customHeight="1">
      <c r="A679" s="27">
        <v>675</v>
      </c>
      <c r="B679" s="3" t="s">
        <v>1549</v>
      </c>
      <c r="C679" s="28" t="s">
        <v>371</v>
      </c>
      <c r="D679" s="28" t="s">
        <v>2470</v>
      </c>
      <c r="E679" s="3" t="s">
        <v>3386</v>
      </c>
      <c r="F679" s="27">
        <v>1</v>
      </c>
      <c r="G679" s="28" t="s">
        <v>371</v>
      </c>
      <c r="H679" s="29"/>
    </row>
    <row r="680" spans="1:8" s="22" customFormat="1" ht="15.9" customHeight="1">
      <c r="A680" s="27">
        <v>676</v>
      </c>
      <c r="B680" s="3" t="s">
        <v>1550</v>
      </c>
      <c r="C680" s="28" t="s">
        <v>371</v>
      </c>
      <c r="D680" s="28" t="s">
        <v>2471</v>
      </c>
      <c r="E680" s="3" t="s">
        <v>3387</v>
      </c>
      <c r="F680" s="27">
        <v>1</v>
      </c>
      <c r="G680" s="28" t="s">
        <v>371</v>
      </c>
      <c r="H680" s="29"/>
    </row>
    <row r="681" spans="1:8" s="22" customFormat="1" ht="15.9" customHeight="1">
      <c r="A681" s="27">
        <v>677</v>
      </c>
      <c r="B681" s="3" t="s">
        <v>1551</v>
      </c>
      <c r="C681" s="28" t="s">
        <v>371</v>
      </c>
      <c r="D681" s="28" t="s">
        <v>2472</v>
      </c>
      <c r="E681" s="3" t="s">
        <v>3388</v>
      </c>
      <c r="F681" s="27">
        <v>1</v>
      </c>
      <c r="G681" s="28" t="s">
        <v>371</v>
      </c>
      <c r="H681" s="29"/>
    </row>
    <row r="682" spans="1:8" s="22" customFormat="1" ht="15.9" customHeight="1">
      <c r="A682" s="27">
        <v>678</v>
      </c>
      <c r="B682" s="3" t="s">
        <v>1552</v>
      </c>
      <c r="C682" s="28" t="s">
        <v>371</v>
      </c>
      <c r="D682" s="28" t="s">
        <v>2473</v>
      </c>
      <c r="E682" s="3" t="s">
        <v>3389</v>
      </c>
      <c r="F682" s="27">
        <v>1</v>
      </c>
      <c r="G682" s="28" t="s">
        <v>371</v>
      </c>
      <c r="H682" s="29"/>
    </row>
    <row r="683" spans="1:8" s="22" customFormat="1" ht="15.9" customHeight="1">
      <c r="A683" s="27">
        <v>679</v>
      </c>
      <c r="B683" s="3" t="s">
        <v>1553</v>
      </c>
      <c r="C683" s="28" t="s">
        <v>371</v>
      </c>
      <c r="D683" s="28" t="s">
        <v>2474</v>
      </c>
      <c r="E683" s="3" t="s">
        <v>3390</v>
      </c>
      <c r="F683" s="27">
        <v>1</v>
      </c>
      <c r="G683" s="28" t="s">
        <v>371</v>
      </c>
      <c r="H683" s="29"/>
    </row>
    <row r="684" spans="1:8" s="22" customFormat="1" ht="15.9" customHeight="1">
      <c r="A684" s="27">
        <v>680</v>
      </c>
      <c r="B684" s="3" t="s">
        <v>1554</v>
      </c>
      <c r="C684" s="28" t="s">
        <v>371</v>
      </c>
      <c r="D684" s="28" t="s">
        <v>2475</v>
      </c>
      <c r="E684" s="3" t="s">
        <v>3391</v>
      </c>
      <c r="F684" s="27">
        <v>1</v>
      </c>
      <c r="G684" s="28" t="s">
        <v>371</v>
      </c>
      <c r="H684" s="29"/>
    </row>
    <row r="685" spans="1:8" s="22" customFormat="1" ht="15.9" customHeight="1">
      <c r="A685" s="27">
        <v>681</v>
      </c>
      <c r="B685" s="3" t="s">
        <v>1555</v>
      </c>
      <c r="C685" s="28" t="s">
        <v>371</v>
      </c>
      <c r="D685" s="28" t="s">
        <v>2476</v>
      </c>
      <c r="E685" s="3" t="s">
        <v>3392</v>
      </c>
      <c r="F685" s="27">
        <v>1</v>
      </c>
      <c r="G685" s="28" t="s">
        <v>371</v>
      </c>
      <c r="H685" s="29"/>
    </row>
    <row r="686" spans="1:8" s="22" customFormat="1" ht="15.9" customHeight="1">
      <c r="A686" s="27">
        <v>682</v>
      </c>
      <c r="B686" s="3" t="s">
        <v>1556</v>
      </c>
      <c r="C686" s="28" t="s">
        <v>371</v>
      </c>
      <c r="D686" s="28" t="s">
        <v>2477</v>
      </c>
      <c r="E686" s="3" t="s">
        <v>3393</v>
      </c>
      <c r="F686" s="27">
        <v>1</v>
      </c>
      <c r="G686" s="28" t="s">
        <v>371</v>
      </c>
      <c r="H686" s="29"/>
    </row>
    <row r="687" spans="1:8" s="22" customFormat="1" ht="15.9" customHeight="1">
      <c r="A687" s="27">
        <v>683</v>
      </c>
      <c r="B687" s="3" t="s">
        <v>1557</v>
      </c>
      <c r="C687" s="28" t="s">
        <v>371</v>
      </c>
      <c r="D687" s="28" t="s">
        <v>2478</v>
      </c>
      <c r="E687" s="3" t="s">
        <v>3394</v>
      </c>
      <c r="F687" s="27">
        <v>1</v>
      </c>
      <c r="G687" s="28" t="s">
        <v>371</v>
      </c>
      <c r="H687" s="29"/>
    </row>
    <row r="688" spans="1:8" s="22" customFormat="1" ht="15.9" customHeight="1">
      <c r="A688" s="27">
        <v>684</v>
      </c>
      <c r="B688" s="3" t="s">
        <v>1558</v>
      </c>
      <c r="C688" s="28" t="s">
        <v>371</v>
      </c>
      <c r="D688" s="28" t="s">
        <v>2479</v>
      </c>
      <c r="E688" s="3" t="s">
        <v>3395</v>
      </c>
      <c r="F688" s="27">
        <v>1</v>
      </c>
      <c r="G688" s="28" t="s">
        <v>371</v>
      </c>
      <c r="H688" s="29"/>
    </row>
    <row r="689" spans="1:8" s="22" customFormat="1" ht="15.9" customHeight="1">
      <c r="A689" s="27">
        <v>685</v>
      </c>
      <c r="B689" s="3" t="s">
        <v>1559</v>
      </c>
      <c r="C689" s="28" t="s">
        <v>371</v>
      </c>
      <c r="D689" s="28" t="s">
        <v>2480</v>
      </c>
      <c r="E689" s="3" t="s">
        <v>3396</v>
      </c>
      <c r="F689" s="27">
        <v>1</v>
      </c>
      <c r="G689" s="28" t="s">
        <v>371</v>
      </c>
      <c r="H689" s="29"/>
    </row>
    <row r="690" spans="1:8" s="22" customFormat="1" ht="15.9" customHeight="1">
      <c r="A690" s="27">
        <v>686</v>
      </c>
      <c r="B690" s="3" t="s">
        <v>1560</v>
      </c>
      <c r="C690" s="28" t="s">
        <v>371</v>
      </c>
      <c r="D690" s="28" t="s">
        <v>2481</v>
      </c>
      <c r="E690" s="3" t="s">
        <v>3397</v>
      </c>
      <c r="F690" s="27">
        <v>1</v>
      </c>
      <c r="G690" s="28" t="s">
        <v>371</v>
      </c>
      <c r="H690" s="29"/>
    </row>
    <row r="691" spans="1:8" s="22" customFormat="1" ht="15.9" customHeight="1">
      <c r="A691" s="27">
        <v>687</v>
      </c>
      <c r="B691" s="3" t="s">
        <v>1561</v>
      </c>
      <c r="C691" s="28" t="s">
        <v>371</v>
      </c>
      <c r="D691" s="28" t="s">
        <v>2482</v>
      </c>
      <c r="E691" s="3" t="s">
        <v>3398</v>
      </c>
      <c r="F691" s="27">
        <v>1</v>
      </c>
      <c r="G691" s="28" t="s">
        <v>371</v>
      </c>
      <c r="H691" s="29"/>
    </row>
    <row r="692" spans="1:8" s="22" customFormat="1" ht="15.9" customHeight="1">
      <c r="A692" s="27">
        <v>688</v>
      </c>
      <c r="B692" s="3" t="s">
        <v>1562</v>
      </c>
      <c r="C692" s="28" t="s">
        <v>371</v>
      </c>
      <c r="D692" s="28" t="s">
        <v>2483</v>
      </c>
      <c r="E692" s="3" t="s">
        <v>3399</v>
      </c>
      <c r="F692" s="27">
        <v>1</v>
      </c>
      <c r="G692" s="28" t="s">
        <v>371</v>
      </c>
      <c r="H692" s="29"/>
    </row>
    <row r="693" spans="1:8" s="22" customFormat="1" ht="15.9" customHeight="1">
      <c r="A693" s="27">
        <v>689</v>
      </c>
      <c r="B693" s="3" t="s">
        <v>1563</v>
      </c>
      <c r="C693" s="28" t="s">
        <v>371</v>
      </c>
      <c r="D693" s="28" t="s">
        <v>2484</v>
      </c>
      <c r="E693" s="3" t="s">
        <v>3400</v>
      </c>
      <c r="F693" s="27">
        <v>1</v>
      </c>
      <c r="G693" s="28" t="s">
        <v>371</v>
      </c>
      <c r="H693" s="29"/>
    </row>
    <row r="694" spans="1:8" s="22" customFormat="1" ht="15.9" customHeight="1">
      <c r="A694" s="27">
        <v>690</v>
      </c>
      <c r="B694" s="3" t="s">
        <v>1564</v>
      </c>
      <c r="C694" s="28" t="s">
        <v>371</v>
      </c>
      <c r="D694" s="28" t="s">
        <v>2485</v>
      </c>
      <c r="E694" s="3" t="s">
        <v>3401</v>
      </c>
      <c r="F694" s="27">
        <v>1</v>
      </c>
      <c r="G694" s="28" t="s">
        <v>371</v>
      </c>
      <c r="H694" s="29"/>
    </row>
    <row r="695" spans="1:8" s="22" customFormat="1" ht="15.9" customHeight="1">
      <c r="A695" s="27">
        <v>691</v>
      </c>
      <c r="B695" s="3" t="s">
        <v>1565</v>
      </c>
      <c r="C695" s="28" t="s">
        <v>371</v>
      </c>
      <c r="D695" s="28" t="s">
        <v>2486</v>
      </c>
      <c r="E695" s="3" t="s">
        <v>3402</v>
      </c>
      <c r="F695" s="27">
        <v>1</v>
      </c>
      <c r="G695" s="28" t="s">
        <v>371</v>
      </c>
      <c r="H695" s="29"/>
    </row>
    <row r="696" spans="1:8" s="22" customFormat="1" ht="15.9" customHeight="1">
      <c r="A696" s="27">
        <v>692</v>
      </c>
      <c r="B696" s="3" t="s">
        <v>1566</v>
      </c>
      <c r="C696" s="28" t="s">
        <v>371</v>
      </c>
      <c r="D696" s="28" t="s">
        <v>2487</v>
      </c>
      <c r="E696" s="3" t="s">
        <v>3403</v>
      </c>
      <c r="F696" s="27">
        <v>1</v>
      </c>
      <c r="G696" s="28" t="s">
        <v>371</v>
      </c>
      <c r="H696" s="29"/>
    </row>
    <row r="697" spans="1:8" s="22" customFormat="1" ht="15.9" customHeight="1">
      <c r="A697" s="27">
        <v>693</v>
      </c>
      <c r="B697" s="3" t="s">
        <v>1567</v>
      </c>
      <c r="C697" s="28" t="s">
        <v>371</v>
      </c>
      <c r="D697" s="28" t="s">
        <v>2488</v>
      </c>
      <c r="E697" s="3" t="s">
        <v>3404</v>
      </c>
      <c r="F697" s="27">
        <v>1</v>
      </c>
      <c r="G697" s="28" t="s">
        <v>371</v>
      </c>
      <c r="H697" s="29"/>
    </row>
    <row r="698" spans="1:8" s="22" customFormat="1" ht="15.9" customHeight="1">
      <c r="A698" s="27">
        <v>694</v>
      </c>
      <c r="B698" s="3" t="s">
        <v>1568</v>
      </c>
      <c r="C698" s="28" t="s">
        <v>371</v>
      </c>
      <c r="D698" s="28" t="s">
        <v>2489</v>
      </c>
      <c r="E698" s="3" t="s">
        <v>3405</v>
      </c>
      <c r="F698" s="27">
        <v>1</v>
      </c>
      <c r="G698" s="28" t="s">
        <v>371</v>
      </c>
      <c r="H698" s="29"/>
    </row>
    <row r="699" spans="1:8" s="22" customFormat="1" ht="15.9" customHeight="1">
      <c r="A699" s="27">
        <v>695</v>
      </c>
      <c r="B699" s="3" t="s">
        <v>1569</v>
      </c>
      <c r="C699" s="28" t="s">
        <v>371</v>
      </c>
      <c r="D699" s="28" t="s">
        <v>2490</v>
      </c>
      <c r="E699" s="3" t="s">
        <v>3406</v>
      </c>
      <c r="F699" s="27">
        <v>1</v>
      </c>
      <c r="G699" s="28" t="s">
        <v>371</v>
      </c>
      <c r="H699" s="29"/>
    </row>
    <row r="700" spans="1:8" s="22" customFormat="1" ht="15.9" customHeight="1">
      <c r="A700" s="27">
        <v>696</v>
      </c>
      <c r="B700" s="3" t="s">
        <v>1570</v>
      </c>
      <c r="C700" s="28" t="s">
        <v>371</v>
      </c>
      <c r="D700" s="28" t="s">
        <v>2491</v>
      </c>
      <c r="E700" s="3" t="s">
        <v>3407</v>
      </c>
      <c r="F700" s="27">
        <v>1</v>
      </c>
      <c r="G700" s="28" t="s">
        <v>371</v>
      </c>
      <c r="H700" s="29"/>
    </row>
    <row r="701" spans="1:8" s="22" customFormat="1" ht="15.9" customHeight="1">
      <c r="A701" s="27">
        <v>697</v>
      </c>
      <c r="B701" s="3" t="s">
        <v>1571</v>
      </c>
      <c r="C701" s="28" t="s">
        <v>371</v>
      </c>
      <c r="D701" s="28" t="s">
        <v>2492</v>
      </c>
      <c r="E701" s="3" t="s">
        <v>3408</v>
      </c>
      <c r="F701" s="27">
        <v>1</v>
      </c>
      <c r="G701" s="28" t="s">
        <v>371</v>
      </c>
      <c r="H701" s="29"/>
    </row>
    <row r="702" spans="1:8" s="22" customFormat="1" ht="15.9" customHeight="1">
      <c r="A702" s="27">
        <v>698</v>
      </c>
      <c r="B702" s="3" t="s">
        <v>1572</v>
      </c>
      <c r="C702" s="28" t="s">
        <v>371</v>
      </c>
      <c r="D702" s="28" t="s">
        <v>2493</v>
      </c>
      <c r="E702" s="3" t="s">
        <v>3409</v>
      </c>
      <c r="F702" s="27">
        <v>1</v>
      </c>
      <c r="G702" s="28" t="s">
        <v>371</v>
      </c>
      <c r="H702" s="29"/>
    </row>
    <row r="703" spans="1:8" s="22" customFormat="1" ht="15.9" customHeight="1">
      <c r="A703" s="27">
        <v>699</v>
      </c>
      <c r="B703" s="3" t="s">
        <v>1573</v>
      </c>
      <c r="C703" s="28" t="s">
        <v>371</v>
      </c>
      <c r="D703" s="28" t="s">
        <v>2494</v>
      </c>
      <c r="E703" s="3" t="s">
        <v>3410</v>
      </c>
      <c r="F703" s="27">
        <v>1</v>
      </c>
      <c r="G703" s="28" t="s">
        <v>371</v>
      </c>
      <c r="H703" s="29"/>
    </row>
    <row r="704" spans="1:8" s="22" customFormat="1" ht="15.9" customHeight="1">
      <c r="A704" s="27">
        <v>700</v>
      </c>
      <c r="B704" s="3" t="s">
        <v>1574</v>
      </c>
      <c r="C704" s="28" t="s">
        <v>371</v>
      </c>
      <c r="D704" s="28" t="s">
        <v>2495</v>
      </c>
      <c r="E704" s="3" t="s">
        <v>3411</v>
      </c>
      <c r="F704" s="27">
        <v>1</v>
      </c>
      <c r="G704" s="28" t="s">
        <v>371</v>
      </c>
      <c r="H704" s="29"/>
    </row>
    <row r="705" spans="1:8" s="22" customFormat="1" ht="15.9" customHeight="1">
      <c r="A705" s="27">
        <v>701</v>
      </c>
      <c r="B705" s="3" t="s">
        <v>1575</v>
      </c>
      <c r="C705" s="28" t="s">
        <v>371</v>
      </c>
      <c r="D705" s="28" t="s">
        <v>2496</v>
      </c>
      <c r="E705" s="3" t="s">
        <v>3412</v>
      </c>
      <c r="F705" s="27">
        <v>1</v>
      </c>
      <c r="G705" s="28" t="s">
        <v>371</v>
      </c>
      <c r="H705" s="29"/>
    </row>
    <row r="706" spans="1:8" s="22" customFormat="1" ht="15.9" customHeight="1">
      <c r="A706" s="27">
        <v>702</v>
      </c>
      <c r="B706" s="3" t="s">
        <v>1576</v>
      </c>
      <c r="C706" s="28" t="s">
        <v>371</v>
      </c>
      <c r="D706" s="28" t="s">
        <v>2497</v>
      </c>
      <c r="E706" s="3" t="s">
        <v>3413</v>
      </c>
      <c r="F706" s="27">
        <v>1</v>
      </c>
      <c r="G706" s="28" t="s">
        <v>371</v>
      </c>
      <c r="H706" s="29"/>
    </row>
    <row r="707" spans="1:8" s="22" customFormat="1" ht="15.9" customHeight="1">
      <c r="A707" s="27">
        <v>703</v>
      </c>
      <c r="B707" s="3" t="s">
        <v>1577</v>
      </c>
      <c r="C707" s="28" t="s">
        <v>371</v>
      </c>
      <c r="D707" s="28" t="s">
        <v>2498</v>
      </c>
      <c r="E707" s="3" t="s">
        <v>3414</v>
      </c>
      <c r="F707" s="27">
        <v>1</v>
      </c>
      <c r="G707" s="28" t="s">
        <v>371</v>
      </c>
      <c r="H707" s="29"/>
    </row>
    <row r="708" spans="1:8" s="22" customFormat="1" ht="15.9" customHeight="1">
      <c r="A708" s="27">
        <v>704</v>
      </c>
      <c r="B708" s="3" t="s">
        <v>1578</v>
      </c>
      <c r="C708" s="28" t="s">
        <v>371</v>
      </c>
      <c r="D708" s="28" t="s">
        <v>2499</v>
      </c>
      <c r="E708" s="3" t="s">
        <v>3415</v>
      </c>
      <c r="F708" s="27">
        <v>1</v>
      </c>
      <c r="G708" s="28" t="s">
        <v>371</v>
      </c>
      <c r="H708" s="29"/>
    </row>
    <row r="709" spans="1:8" s="22" customFormat="1" ht="15.9" customHeight="1">
      <c r="A709" s="27">
        <v>705</v>
      </c>
      <c r="B709" s="3" t="s">
        <v>1579</v>
      </c>
      <c r="C709" s="28" t="s">
        <v>371</v>
      </c>
      <c r="D709" s="28" t="s">
        <v>2500</v>
      </c>
      <c r="E709" s="3" t="s">
        <v>3416</v>
      </c>
      <c r="F709" s="27">
        <v>1</v>
      </c>
      <c r="G709" s="28" t="s">
        <v>371</v>
      </c>
      <c r="H709" s="29"/>
    </row>
    <row r="710" spans="1:8" s="22" customFormat="1" ht="15.9" customHeight="1">
      <c r="A710" s="27">
        <v>706</v>
      </c>
      <c r="B710" s="3" t="s">
        <v>1580</v>
      </c>
      <c r="C710" s="28" t="s">
        <v>371</v>
      </c>
      <c r="D710" s="28" t="s">
        <v>2501</v>
      </c>
      <c r="E710" s="3" t="s">
        <v>3417</v>
      </c>
      <c r="F710" s="27">
        <v>1</v>
      </c>
      <c r="G710" s="28" t="s">
        <v>371</v>
      </c>
      <c r="H710" s="29"/>
    </row>
    <row r="711" spans="1:8" s="22" customFormat="1" ht="15.9" customHeight="1">
      <c r="A711" s="27">
        <v>707</v>
      </c>
      <c r="B711" s="3" t="s">
        <v>1581</v>
      </c>
      <c r="C711" s="28" t="s">
        <v>371</v>
      </c>
      <c r="D711" s="28" t="s">
        <v>2502</v>
      </c>
      <c r="E711" s="3" t="s">
        <v>3418</v>
      </c>
      <c r="F711" s="27">
        <v>1</v>
      </c>
      <c r="G711" s="28" t="s">
        <v>371</v>
      </c>
      <c r="H711" s="29"/>
    </row>
    <row r="712" spans="1:8" s="22" customFormat="1" ht="15.9" customHeight="1">
      <c r="A712" s="27">
        <v>708</v>
      </c>
      <c r="B712" s="3" t="s">
        <v>1582</v>
      </c>
      <c r="C712" s="28" t="s">
        <v>371</v>
      </c>
      <c r="D712" s="28" t="s">
        <v>2503</v>
      </c>
      <c r="E712" s="3" t="s">
        <v>3419</v>
      </c>
      <c r="F712" s="27">
        <v>1</v>
      </c>
      <c r="G712" s="28" t="s">
        <v>371</v>
      </c>
      <c r="H712" s="29"/>
    </row>
    <row r="713" spans="1:8" s="22" customFormat="1" ht="15.9" customHeight="1">
      <c r="A713" s="27">
        <v>709</v>
      </c>
      <c r="B713" s="3" t="s">
        <v>1583</v>
      </c>
      <c r="C713" s="28" t="s">
        <v>371</v>
      </c>
      <c r="D713" s="28" t="s">
        <v>2504</v>
      </c>
      <c r="E713" s="3" t="s">
        <v>3420</v>
      </c>
      <c r="F713" s="27">
        <v>1</v>
      </c>
      <c r="G713" s="28" t="s">
        <v>371</v>
      </c>
      <c r="H713" s="29"/>
    </row>
    <row r="714" spans="1:8" s="22" customFormat="1" ht="15.9" customHeight="1">
      <c r="A714" s="27">
        <v>710</v>
      </c>
      <c r="B714" s="3" t="s">
        <v>1584</v>
      </c>
      <c r="C714" s="28" t="s">
        <v>371</v>
      </c>
      <c r="D714" s="28" t="s">
        <v>2505</v>
      </c>
      <c r="E714" s="3" t="s">
        <v>3421</v>
      </c>
      <c r="F714" s="27">
        <v>1</v>
      </c>
      <c r="G714" s="28" t="s">
        <v>371</v>
      </c>
      <c r="H714" s="29"/>
    </row>
    <row r="715" spans="1:8" s="22" customFormat="1" ht="15.9" customHeight="1">
      <c r="A715" s="27">
        <v>711</v>
      </c>
      <c r="B715" s="3" t="s">
        <v>1585</v>
      </c>
      <c r="C715" s="28" t="s">
        <v>371</v>
      </c>
      <c r="D715" s="28" t="s">
        <v>2506</v>
      </c>
      <c r="E715" s="3" t="s">
        <v>3422</v>
      </c>
      <c r="F715" s="27">
        <v>1</v>
      </c>
      <c r="G715" s="28" t="s">
        <v>371</v>
      </c>
      <c r="H715" s="29"/>
    </row>
    <row r="716" spans="1:8" s="22" customFormat="1" ht="15.9" customHeight="1">
      <c r="A716" s="27">
        <v>712</v>
      </c>
      <c r="B716" s="3" t="s">
        <v>1586</v>
      </c>
      <c r="C716" s="28" t="s">
        <v>371</v>
      </c>
      <c r="D716" s="28" t="s">
        <v>2507</v>
      </c>
      <c r="E716" s="3" t="s">
        <v>3423</v>
      </c>
      <c r="F716" s="27">
        <v>1</v>
      </c>
      <c r="G716" s="28" t="s">
        <v>371</v>
      </c>
      <c r="H716" s="29"/>
    </row>
    <row r="717" spans="1:8" s="22" customFormat="1" ht="15.9" customHeight="1">
      <c r="A717" s="27">
        <v>713</v>
      </c>
      <c r="B717" s="3" t="s">
        <v>1587</v>
      </c>
      <c r="C717" s="28" t="s">
        <v>371</v>
      </c>
      <c r="D717" s="28" t="s">
        <v>2508</v>
      </c>
      <c r="E717" s="3" t="s">
        <v>3424</v>
      </c>
      <c r="F717" s="27">
        <v>1</v>
      </c>
      <c r="G717" s="28" t="s">
        <v>371</v>
      </c>
      <c r="H717" s="29"/>
    </row>
    <row r="718" spans="1:8" s="22" customFormat="1" ht="15.9" customHeight="1">
      <c r="A718" s="27">
        <v>714</v>
      </c>
      <c r="B718" s="3" t="s">
        <v>1588</v>
      </c>
      <c r="C718" s="28" t="s">
        <v>371</v>
      </c>
      <c r="D718" s="28" t="s">
        <v>2509</v>
      </c>
      <c r="E718" s="3" t="s">
        <v>3425</v>
      </c>
      <c r="F718" s="27">
        <v>1</v>
      </c>
      <c r="G718" s="28" t="s">
        <v>371</v>
      </c>
      <c r="H718" s="29"/>
    </row>
    <row r="719" spans="1:8" s="22" customFormat="1" ht="15.9" customHeight="1">
      <c r="A719" s="27">
        <v>715</v>
      </c>
      <c r="B719" s="3" t="s">
        <v>1589</v>
      </c>
      <c r="C719" s="28" t="s">
        <v>371</v>
      </c>
      <c r="D719" s="28" t="s">
        <v>2510</v>
      </c>
      <c r="E719" s="3" t="s">
        <v>3426</v>
      </c>
      <c r="F719" s="27">
        <v>1</v>
      </c>
      <c r="G719" s="28" t="s">
        <v>371</v>
      </c>
      <c r="H719" s="29"/>
    </row>
    <row r="720" spans="1:8" s="22" customFormat="1" ht="15.9" customHeight="1">
      <c r="A720" s="27">
        <v>716</v>
      </c>
      <c r="B720" s="3" t="s">
        <v>1590</v>
      </c>
      <c r="C720" s="28" t="s">
        <v>371</v>
      </c>
      <c r="D720" s="28" t="s">
        <v>2511</v>
      </c>
      <c r="E720" s="3" t="s">
        <v>3427</v>
      </c>
      <c r="F720" s="27">
        <v>1</v>
      </c>
      <c r="G720" s="28" t="s">
        <v>371</v>
      </c>
      <c r="H720" s="29"/>
    </row>
    <row r="721" spans="1:8" s="22" customFormat="1" ht="15.9" customHeight="1">
      <c r="A721" s="27">
        <v>717</v>
      </c>
      <c r="B721" s="3" t="s">
        <v>1591</v>
      </c>
      <c r="C721" s="28" t="s">
        <v>371</v>
      </c>
      <c r="D721" s="28" t="s">
        <v>2512</v>
      </c>
      <c r="E721" s="3" t="s">
        <v>3428</v>
      </c>
      <c r="F721" s="27">
        <v>1</v>
      </c>
      <c r="G721" s="28" t="s">
        <v>371</v>
      </c>
      <c r="H721" s="29"/>
    </row>
    <row r="722" spans="1:8" s="22" customFormat="1" ht="15.9" customHeight="1">
      <c r="A722" s="27">
        <v>718</v>
      </c>
      <c r="B722" s="3" t="s">
        <v>1592</v>
      </c>
      <c r="C722" s="28" t="s">
        <v>371</v>
      </c>
      <c r="D722" s="28" t="s">
        <v>2513</v>
      </c>
      <c r="E722" s="3" t="s">
        <v>3429</v>
      </c>
      <c r="F722" s="27">
        <v>1</v>
      </c>
      <c r="G722" s="28" t="s">
        <v>371</v>
      </c>
      <c r="H722" s="29"/>
    </row>
    <row r="723" spans="1:8" s="22" customFormat="1" ht="15.9" customHeight="1">
      <c r="A723" s="27">
        <v>719</v>
      </c>
      <c r="B723" s="3" t="s">
        <v>1593</v>
      </c>
      <c r="C723" s="28" t="s">
        <v>371</v>
      </c>
      <c r="D723" s="28" t="s">
        <v>2514</v>
      </c>
      <c r="E723" s="3" t="s">
        <v>3430</v>
      </c>
      <c r="F723" s="27">
        <v>1</v>
      </c>
      <c r="G723" s="28" t="s">
        <v>371</v>
      </c>
      <c r="H723" s="29"/>
    </row>
    <row r="724" spans="1:8" s="22" customFormat="1" ht="15.9" customHeight="1">
      <c r="A724" s="27">
        <v>720</v>
      </c>
      <c r="B724" s="3" t="s">
        <v>1594</v>
      </c>
      <c r="C724" s="28" t="s">
        <v>371</v>
      </c>
      <c r="D724" s="28" t="s">
        <v>2515</v>
      </c>
      <c r="E724" s="3" t="s">
        <v>3431</v>
      </c>
      <c r="F724" s="27">
        <v>1</v>
      </c>
      <c r="G724" s="28" t="s">
        <v>371</v>
      </c>
      <c r="H724" s="29"/>
    </row>
    <row r="725" spans="1:8" s="22" customFormat="1" ht="15.9" customHeight="1">
      <c r="A725" s="27">
        <v>721</v>
      </c>
      <c r="B725" s="3" t="s">
        <v>1595</v>
      </c>
      <c r="C725" s="28" t="s">
        <v>371</v>
      </c>
      <c r="D725" s="28" t="s">
        <v>2516</v>
      </c>
      <c r="E725" s="3" t="s">
        <v>3432</v>
      </c>
      <c r="F725" s="27">
        <v>1</v>
      </c>
      <c r="G725" s="28" t="s">
        <v>371</v>
      </c>
      <c r="H725" s="29"/>
    </row>
    <row r="726" spans="1:8" s="22" customFormat="1" ht="15.9" customHeight="1">
      <c r="A726" s="27">
        <v>722</v>
      </c>
      <c r="B726" s="3" t="s">
        <v>1596</v>
      </c>
      <c r="C726" s="28" t="s">
        <v>371</v>
      </c>
      <c r="D726" s="28" t="s">
        <v>2517</v>
      </c>
      <c r="E726" s="3" t="s">
        <v>3433</v>
      </c>
      <c r="F726" s="27">
        <v>1</v>
      </c>
      <c r="G726" s="28" t="s">
        <v>371</v>
      </c>
      <c r="H726" s="29"/>
    </row>
    <row r="727" spans="1:8" s="22" customFormat="1" ht="15.9" customHeight="1">
      <c r="A727" s="27">
        <v>723</v>
      </c>
      <c r="B727" s="3" t="s">
        <v>4677</v>
      </c>
      <c r="C727" s="28" t="s">
        <v>2115</v>
      </c>
      <c r="D727" s="28" t="s">
        <v>4678</v>
      </c>
      <c r="E727" s="3" t="s">
        <v>4679</v>
      </c>
      <c r="F727" s="27">
        <v>1</v>
      </c>
      <c r="G727" s="28" t="s">
        <v>4335</v>
      </c>
      <c r="H727" s="29"/>
    </row>
    <row r="728" spans="1:8" s="22" customFormat="1" ht="15.9" customHeight="1">
      <c r="A728" s="27">
        <v>724</v>
      </c>
      <c r="B728" s="3" t="s">
        <v>1597</v>
      </c>
      <c r="C728" s="28" t="s">
        <v>371</v>
      </c>
      <c r="D728" s="28" t="s">
        <v>2518</v>
      </c>
      <c r="E728" s="3" t="s">
        <v>3434</v>
      </c>
      <c r="F728" s="27">
        <v>1</v>
      </c>
      <c r="G728" s="28" t="s">
        <v>371</v>
      </c>
      <c r="H728" s="29"/>
    </row>
    <row r="729" spans="1:8" s="22" customFormat="1" ht="15.9" customHeight="1">
      <c r="A729" s="27">
        <v>725</v>
      </c>
      <c r="B729" s="3" t="s">
        <v>1598</v>
      </c>
      <c r="C729" s="28" t="s">
        <v>371</v>
      </c>
      <c r="D729" s="28" t="s">
        <v>2519</v>
      </c>
      <c r="E729" s="3" t="s">
        <v>3435</v>
      </c>
      <c r="F729" s="27">
        <v>1</v>
      </c>
      <c r="G729" s="28" t="s">
        <v>371</v>
      </c>
      <c r="H729" s="29"/>
    </row>
    <row r="730" spans="1:8" s="22" customFormat="1" ht="15.9" customHeight="1">
      <c r="A730" s="27">
        <v>726</v>
      </c>
      <c r="B730" s="3" t="s">
        <v>1599</v>
      </c>
      <c r="C730" s="28" t="s">
        <v>371</v>
      </c>
      <c r="D730" s="28" t="s">
        <v>2520</v>
      </c>
      <c r="E730" s="3" t="s">
        <v>3436</v>
      </c>
      <c r="F730" s="27">
        <v>1</v>
      </c>
      <c r="G730" s="28" t="s">
        <v>371</v>
      </c>
      <c r="H730" s="29"/>
    </row>
    <row r="731" spans="1:8" s="22" customFormat="1" ht="15.9" customHeight="1">
      <c r="A731" s="27">
        <v>727</v>
      </c>
      <c r="B731" s="3" t="s">
        <v>1600</v>
      </c>
      <c r="C731" s="28" t="s">
        <v>371</v>
      </c>
      <c r="D731" s="28" t="s">
        <v>2521</v>
      </c>
      <c r="E731" s="3" t="s">
        <v>3437</v>
      </c>
      <c r="F731" s="27">
        <v>1</v>
      </c>
      <c r="G731" s="28" t="s">
        <v>371</v>
      </c>
      <c r="H731" s="29"/>
    </row>
    <row r="732" spans="1:8" s="22" customFormat="1" ht="15.9" customHeight="1">
      <c r="A732" s="27">
        <v>728</v>
      </c>
      <c r="B732" s="3" t="s">
        <v>1601</v>
      </c>
      <c r="C732" s="28" t="s">
        <v>371</v>
      </c>
      <c r="D732" s="28" t="s">
        <v>2522</v>
      </c>
      <c r="E732" s="3" t="s">
        <v>3438</v>
      </c>
      <c r="F732" s="27">
        <v>1</v>
      </c>
      <c r="G732" s="28" t="s">
        <v>371</v>
      </c>
      <c r="H732" s="29"/>
    </row>
    <row r="733" spans="1:8" s="22" customFormat="1" ht="15.9" customHeight="1">
      <c r="A733" s="27">
        <v>729</v>
      </c>
      <c r="B733" s="3" t="s">
        <v>1602</v>
      </c>
      <c r="C733" s="28" t="s">
        <v>371</v>
      </c>
      <c r="D733" s="28" t="s">
        <v>2523</v>
      </c>
      <c r="E733" s="3" t="s">
        <v>3439</v>
      </c>
      <c r="F733" s="27">
        <v>1</v>
      </c>
      <c r="G733" s="28" t="s">
        <v>371</v>
      </c>
      <c r="H733" s="29"/>
    </row>
    <row r="734" spans="1:8" s="22" customFormat="1" ht="15.9" customHeight="1">
      <c r="A734" s="27">
        <v>730</v>
      </c>
      <c r="B734" s="3" t="s">
        <v>1603</v>
      </c>
      <c r="C734" s="28" t="s">
        <v>371</v>
      </c>
      <c r="D734" s="28" t="s">
        <v>2524</v>
      </c>
      <c r="E734" s="3" t="s">
        <v>3440</v>
      </c>
      <c r="F734" s="27">
        <v>1</v>
      </c>
      <c r="G734" s="28" t="s">
        <v>371</v>
      </c>
      <c r="H734" s="29"/>
    </row>
    <row r="735" spans="1:8" s="22" customFormat="1" ht="15.9" customHeight="1">
      <c r="A735" s="27">
        <v>731</v>
      </c>
      <c r="B735" s="3" t="s">
        <v>1604</v>
      </c>
      <c r="C735" s="28" t="s">
        <v>371</v>
      </c>
      <c r="D735" s="28" t="s">
        <v>2525</v>
      </c>
      <c r="E735" s="3" t="s">
        <v>3441</v>
      </c>
      <c r="F735" s="27">
        <v>1</v>
      </c>
      <c r="G735" s="28" t="s">
        <v>371</v>
      </c>
      <c r="H735" s="29"/>
    </row>
    <row r="736" spans="1:8" s="22" customFormat="1" ht="15.9" customHeight="1">
      <c r="A736" s="27">
        <v>732</v>
      </c>
      <c r="B736" s="3" t="s">
        <v>1605</v>
      </c>
      <c r="C736" s="28" t="s">
        <v>4641</v>
      </c>
      <c r="D736" s="28" t="s">
        <v>2526</v>
      </c>
      <c r="E736" s="3" t="s">
        <v>3442</v>
      </c>
      <c r="F736" s="27">
        <v>1</v>
      </c>
      <c r="G736" s="28" t="s">
        <v>4335</v>
      </c>
      <c r="H736" s="29"/>
    </row>
    <row r="737" spans="1:8" s="22" customFormat="1" ht="15.9" customHeight="1">
      <c r="A737" s="27">
        <v>733</v>
      </c>
      <c r="B737" s="3" t="s">
        <v>1606</v>
      </c>
      <c r="C737" s="28" t="s">
        <v>371</v>
      </c>
      <c r="D737" s="28" t="s">
        <v>2527</v>
      </c>
      <c r="E737" s="3" t="s">
        <v>3443</v>
      </c>
      <c r="F737" s="27">
        <v>1</v>
      </c>
      <c r="G737" s="28" t="s">
        <v>371</v>
      </c>
      <c r="H737" s="29"/>
    </row>
    <row r="738" spans="1:8" s="22" customFormat="1" ht="15.9" customHeight="1">
      <c r="A738" s="27">
        <v>734</v>
      </c>
      <c r="B738" s="3" t="s">
        <v>1607</v>
      </c>
      <c r="C738" s="28" t="s">
        <v>371</v>
      </c>
      <c r="D738" s="28" t="s">
        <v>2528</v>
      </c>
      <c r="E738" s="3" t="s">
        <v>3444</v>
      </c>
      <c r="F738" s="27">
        <v>1</v>
      </c>
      <c r="G738" s="28" t="s">
        <v>371</v>
      </c>
      <c r="H738" s="29"/>
    </row>
    <row r="739" spans="1:8" s="22" customFormat="1" ht="15.9" customHeight="1">
      <c r="A739" s="27">
        <v>735</v>
      </c>
      <c r="B739" s="3" t="s">
        <v>1608</v>
      </c>
      <c r="C739" s="28" t="s">
        <v>371</v>
      </c>
      <c r="D739" s="28" t="s">
        <v>2529</v>
      </c>
      <c r="E739" s="3" t="s">
        <v>3445</v>
      </c>
      <c r="F739" s="27">
        <v>1</v>
      </c>
      <c r="G739" s="28" t="s">
        <v>371</v>
      </c>
      <c r="H739" s="29"/>
    </row>
    <row r="740" spans="1:8" s="22" customFormat="1" ht="15.9" customHeight="1">
      <c r="A740" s="27">
        <v>736</v>
      </c>
      <c r="B740" s="3" t="s">
        <v>1609</v>
      </c>
      <c r="C740" s="28" t="s">
        <v>371</v>
      </c>
      <c r="D740" s="28" t="s">
        <v>2530</v>
      </c>
      <c r="E740" s="3" t="s">
        <v>3446</v>
      </c>
      <c r="F740" s="27">
        <v>1</v>
      </c>
      <c r="G740" s="28" t="s">
        <v>371</v>
      </c>
      <c r="H740" s="29"/>
    </row>
    <row r="741" spans="1:8" s="22" customFormat="1" ht="15.9" customHeight="1">
      <c r="A741" s="27">
        <v>737</v>
      </c>
      <c r="B741" s="3" t="s">
        <v>1610</v>
      </c>
      <c r="C741" s="28" t="s">
        <v>371</v>
      </c>
      <c r="D741" s="28" t="s">
        <v>2531</v>
      </c>
      <c r="E741" s="3" t="s">
        <v>3447</v>
      </c>
      <c r="F741" s="27">
        <v>1</v>
      </c>
      <c r="G741" s="28" t="s">
        <v>371</v>
      </c>
      <c r="H741" s="29"/>
    </row>
    <row r="742" spans="1:8" s="22" customFormat="1" ht="15.9" customHeight="1">
      <c r="A742" s="27">
        <v>738</v>
      </c>
      <c r="B742" s="3" t="s">
        <v>1611</v>
      </c>
      <c r="C742" s="28" t="s">
        <v>4641</v>
      </c>
      <c r="D742" s="28" t="s">
        <v>2532</v>
      </c>
      <c r="E742" s="3" t="s">
        <v>3448</v>
      </c>
      <c r="F742" s="27">
        <v>1</v>
      </c>
      <c r="G742" s="28" t="s">
        <v>4335</v>
      </c>
      <c r="H742" s="29"/>
    </row>
    <row r="743" spans="1:8" s="22" customFormat="1" ht="15.9" customHeight="1">
      <c r="A743" s="27">
        <v>739</v>
      </c>
      <c r="B743" s="3" t="s">
        <v>1612</v>
      </c>
      <c r="C743" s="28" t="s">
        <v>371</v>
      </c>
      <c r="D743" s="28" t="s">
        <v>2533</v>
      </c>
      <c r="E743" s="3" t="s">
        <v>3449</v>
      </c>
      <c r="F743" s="27">
        <v>1</v>
      </c>
      <c r="G743" s="28" t="s">
        <v>371</v>
      </c>
      <c r="H743" s="29"/>
    </row>
    <row r="744" spans="1:8" s="22" customFormat="1" ht="15.9" customHeight="1">
      <c r="A744" s="27">
        <v>740</v>
      </c>
      <c r="B744" s="3" t="s">
        <v>1613</v>
      </c>
      <c r="C744" s="28" t="s">
        <v>371</v>
      </c>
      <c r="D744" s="28" t="s">
        <v>2534</v>
      </c>
      <c r="E744" s="3" t="s">
        <v>3450</v>
      </c>
      <c r="F744" s="27">
        <v>1</v>
      </c>
      <c r="G744" s="28" t="s">
        <v>371</v>
      </c>
      <c r="H744" s="29"/>
    </row>
    <row r="745" spans="1:8" s="22" customFormat="1" ht="15.9" customHeight="1">
      <c r="A745" s="27">
        <v>741</v>
      </c>
      <c r="B745" s="3" t="s">
        <v>1614</v>
      </c>
      <c r="C745" s="28" t="s">
        <v>371</v>
      </c>
      <c r="D745" s="28" t="s">
        <v>2535</v>
      </c>
      <c r="E745" s="3" t="s">
        <v>3451</v>
      </c>
      <c r="F745" s="27">
        <v>1</v>
      </c>
      <c r="G745" s="28" t="s">
        <v>371</v>
      </c>
      <c r="H745" s="29"/>
    </row>
    <row r="746" spans="1:8" s="22" customFormat="1" ht="15.9" customHeight="1">
      <c r="A746" s="27">
        <v>742</v>
      </c>
      <c r="B746" s="3" t="s">
        <v>4680</v>
      </c>
      <c r="C746" s="28" t="s">
        <v>4638</v>
      </c>
      <c r="D746" s="28" t="s">
        <v>4681</v>
      </c>
      <c r="E746" s="3" t="s">
        <v>4682</v>
      </c>
      <c r="F746" s="27">
        <v>2</v>
      </c>
      <c r="G746" s="28" t="s">
        <v>4335</v>
      </c>
      <c r="H746" s="29"/>
    </row>
    <row r="747" spans="1:8" s="22" customFormat="1" ht="15.9" customHeight="1">
      <c r="A747" s="27">
        <v>743</v>
      </c>
      <c r="B747" s="3" t="s">
        <v>1615</v>
      </c>
      <c r="C747" s="28" t="s">
        <v>371</v>
      </c>
      <c r="D747" s="28" t="s">
        <v>2536</v>
      </c>
      <c r="E747" s="3" t="s">
        <v>3452</v>
      </c>
      <c r="F747" s="27">
        <v>1</v>
      </c>
      <c r="G747" s="28" t="s">
        <v>371</v>
      </c>
      <c r="H747" s="29"/>
    </row>
    <row r="748" spans="1:8" s="22" customFormat="1" ht="15.9" customHeight="1">
      <c r="A748" s="27">
        <v>744</v>
      </c>
      <c r="B748" s="3" t="s">
        <v>1616</v>
      </c>
      <c r="C748" s="28" t="s">
        <v>371</v>
      </c>
      <c r="D748" s="28" t="s">
        <v>2537</v>
      </c>
      <c r="E748" s="3" t="s">
        <v>3453</v>
      </c>
      <c r="F748" s="27">
        <v>1</v>
      </c>
      <c r="G748" s="28" t="s">
        <v>371</v>
      </c>
      <c r="H748" s="29"/>
    </row>
    <row r="749" spans="1:8" s="22" customFormat="1" ht="15.9" customHeight="1">
      <c r="A749" s="27">
        <v>745</v>
      </c>
      <c r="B749" s="3" t="s">
        <v>1617</v>
      </c>
      <c r="C749" s="28" t="s">
        <v>371</v>
      </c>
      <c r="D749" s="28" t="s">
        <v>2538</v>
      </c>
      <c r="E749" s="3" t="s">
        <v>3454</v>
      </c>
      <c r="F749" s="27">
        <v>1</v>
      </c>
      <c r="G749" s="28" t="s">
        <v>371</v>
      </c>
      <c r="H749" s="29"/>
    </row>
    <row r="750" spans="1:8" s="22" customFormat="1" ht="15.9" customHeight="1">
      <c r="A750" s="27">
        <v>746</v>
      </c>
      <c r="B750" s="3" t="s">
        <v>1618</v>
      </c>
      <c r="C750" s="28" t="s">
        <v>371</v>
      </c>
      <c r="D750" s="28" t="s">
        <v>2539</v>
      </c>
      <c r="E750" s="3" t="s">
        <v>3455</v>
      </c>
      <c r="F750" s="27">
        <v>1</v>
      </c>
      <c r="G750" s="28" t="s">
        <v>371</v>
      </c>
      <c r="H750" s="29"/>
    </row>
    <row r="751" spans="1:8" s="22" customFormat="1" ht="15.9" customHeight="1">
      <c r="A751" s="27">
        <v>747</v>
      </c>
      <c r="B751" s="3" t="s">
        <v>1619</v>
      </c>
      <c r="C751" s="28" t="s">
        <v>371</v>
      </c>
      <c r="D751" s="28" t="s">
        <v>2540</v>
      </c>
      <c r="E751" s="3" t="s">
        <v>3456</v>
      </c>
      <c r="F751" s="27">
        <v>1</v>
      </c>
      <c r="G751" s="28" t="s">
        <v>371</v>
      </c>
      <c r="H751" s="29"/>
    </row>
    <row r="752" spans="1:8" s="22" customFormat="1" ht="15.9" customHeight="1">
      <c r="A752" s="27">
        <v>748</v>
      </c>
      <c r="B752" s="3" t="s">
        <v>1620</v>
      </c>
      <c r="C752" s="28" t="s">
        <v>371</v>
      </c>
      <c r="D752" s="28" t="s">
        <v>2541</v>
      </c>
      <c r="E752" s="3" t="s">
        <v>3457</v>
      </c>
      <c r="F752" s="27">
        <v>1</v>
      </c>
      <c r="G752" s="28" t="s">
        <v>371</v>
      </c>
      <c r="H752" s="29"/>
    </row>
    <row r="753" spans="1:8" s="22" customFormat="1" ht="15.9" customHeight="1">
      <c r="A753" s="27">
        <v>749</v>
      </c>
      <c r="B753" s="3" t="s">
        <v>1621</v>
      </c>
      <c r="C753" s="28" t="s">
        <v>371</v>
      </c>
      <c r="D753" s="28" t="s">
        <v>2542</v>
      </c>
      <c r="E753" s="3" t="s">
        <v>3458</v>
      </c>
      <c r="F753" s="27">
        <v>1</v>
      </c>
      <c r="G753" s="28" t="s">
        <v>371</v>
      </c>
      <c r="H753" s="29"/>
    </row>
    <row r="754" spans="1:8" s="22" customFormat="1" ht="15.9" customHeight="1">
      <c r="A754" s="27">
        <v>750</v>
      </c>
      <c r="B754" s="3" t="s">
        <v>1622</v>
      </c>
      <c r="C754" s="28" t="s">
        <v>371</v>
      </c>
      <c r="D754" s="28" t="s">
        <v>2543</v>
      </c>
      <c r="E754" s="3" t="s">
        <v>3459</v>
      </c>
      <c r="F754" s="27">
        <v>1</v>
      </c>
      <c r="G754" s="28" t="s">
        <v>371</v>
      </c>
      <c r="H754" s="29"/>
    </row>
    <row r="755" spans="1:8" s="22" customFormat="1" ht="15.9" customHeight="1">
      <c r="A755" s="27">
        <v>751</v>
      </c>
      <c r="B755" s="3" t="s">
        <v>1623</v>
      </c>
      <c r="C755" s="28" t="s">
        <v>371</v>
      </c>
      <c r="D755" s="28" t="s">
        <v>2544</v>
      </c>
      <c r="E755" s="3" t="s">
        <v>3460</v>
      </c>
      <c r="F755" s="27">
        <v>1</v>
      </c>
      <c r="G755" s="28" t="s">
        <v>371</v>
      </c>
      <c r="H755" s="29"/>
    </row>
    <row r="756" spans="1:8" s="22" customFormat="1" ht="15.9" customHeight="1">
      <c r="A756" s="27">
        <v>752</v>
      </c>
      <c r="B756" s="3" t="s">
        <v>1624</v>
      </c>
      <c r="C756" s="28" t="s">
        <v>371</v>
      </c>
      <c r="D756" s="28" t="s">
        <v>2545</v>
      </c>
      <c r="E756" s="3" t="s">
        <v>3461</v>
      </c>
      <c r="F756" s="27">
        <v>1</v>
      </c>
      <c r="G756" s="28" t="s">
        <v>371</v>
      </c>
      <c r="H756" s="29"/>
    </row>
    <row r="757" spans="1:8" s="22" customFormat="1" ht="15.9" customHeight="1">
      <c r="A757" s="27">
        <v>753</v>
      </c>
      <c r="B757" s="3" t="s">
        <v>1625</v>
      </c>
      <c r="C757" s="28" t="s">
        <v>371</v>
      </c>
      <c r="D757" s="28" t="s">
        <v>2546</v>
      </c>
      <c r="E757" s="3" t="s">
        <v>3462</v>
      </c>
      <c r="F757" s="27">
        <v>1</v>
      </c>
      <c r="G757" s="28" t="s">
        <v>371</v>
      </c>
      <c r="H757" s="29"/>
    </row>
    <row r="758" spans="1:8" s="22" customFormat="1" ht="15.9" customHeight="1">
      <c r="A758" s="27">
        <v>754</v>
      </c>
      <c r="B758" s="3" t="s">
        <v>1626</v>
      </c>
      <c r="C758" s="28" t="s">
        <v>371</v>
      </c>
      <c r="D758" s="28" t="s">
        <v>2547</v>
      </c>
      <c r="E758" s="3" t="s">
        <v>3463</v>
      </c>
      <c r="F758" s="27">
        <v>1</v>
      </c>
      <c r="G758" s="28" t="s">
        <v>371</v>
      </c>
      <c r="H758" s="29"/>
    </row>
    <row r="759" spans="1:8" s="22" customFormat="1" ht="15.9" customHeight="1">
      <c r="A759" s="27">
        <v>755</v>
      </c>
      <c r="B759" s="3" t="s">
        <v>1627</v>
      </c>
      <c r="C759" s="28" t="s">
        <v>371</v>
      </c>
      <c r="D759" s="28" t="s">
        <v>2548</v>
      </c>
      <c r="E759" s="3" t="s">
        <v>3464</v>
      </c>
      <c r="F759" s="27">
        <v>1</v>
      </c>
      <c r="G759" s="28" t="s">
        <v>371</v>
      </c>
      <c r="H759" s="29"/>
    </row>
    <row r="760" spans="1:8" s="22" customFormat="1" ht="15.9" customHeight="1">
      <c r="A760" s="27">
        <v>756</v>
      </c>
      <c r="B760" s="3" t="s">
        <v>1628</v>
      </c>
      <c r="C760" s="28" t="s">
        <v>371</v>
      </c>
      <c r="D760" s="28" t="s">
        <v>2549</v>
      </c>
      <c r="E760" s="3" t="s">
        <v>3465</v>
      </c>
      <c r="F760" s="27">
        <v>1</v>
      </c>
      <c r="G760" s="28" t="s">
        <v>371</v>
      </c>
      <c r="H760" s="29"/>
    </row>
    <row r="761" spans="1:8" s="22" customFormat="1" ht="15.9" customHeight="1">
      <c r="A761" s="27">
        <v>757</v>
      </c>
      <c r="B761" s="3" t="s">
        <v>1629</v>
      </c>
      <c r="C761" s="28" t="s">
        <v>371</v>
      </c>
      <c r="D761" s="28" t="s">
        <v>2550</v>
      </c>
      <c r="E761" s="3" t="s">
        <v>3466</v>
      </c>
      <c r="F761" s="27">
        <v>1</v>
      </c>
      <c r="G761" s="28" t="s">
        <v>371</v>
      </c>
      <c r="H761" s="29"/>
    </row>
    <row r="762" spans="1:8" s="22" customFormat="1" ht="15.9" customHeight="1">
      <c r="A762" s="27">
        <v>758</v>
      </c>
      <c r="B762" s="3" t="s">
        <v>1630</v>
      </c>
      <c r="C762" s="28" t="s">
        <v>371</v>
      </c>
      <c r="D762" s="28" t="s">
        <v>2551</v>
      </c>
      <c r="E762" s="3" t="s">
        <v>3467</v>
      </c>
      <c r="F762" s="27">
        <v>1</v>
      </c>
      <c r="G762" s="28" t="s">
        <v>371</v>
      </c>
      <c r="H762" s="29"/>
    </row>
    <row r="763" spans="1:8" s="22" customFormat="1" ht="15.9" customHeight="1">
      <c r="A763" s="27">
        <v>759</v>
      </c>
      <c r="B763" s="3" t="s">
        <v>1631</v>
      </c>
      <c r="C763" s="28" t="s">
        <v>371</v>
      </c>
      <c r="D763" s="28" t="s">
        <v>2552</v>
      </c>
      <c r="E763" s="3" t="s">
        <v>3468</v>
      </c>
      <c r="F763" s="27">
        <v>1</v>
      </c>
      <c r="G763" s="28" t="s">
        <v>371</v>
      </c>
      <c r="H763" s="29"/>
    </row>
    <row r="764" spans="1:8" s="22" customFormat="1" ht="15.9" customHeight="1">
      <c r="A764" s="27">
        <v>760</v>
      </c>
      <c r="B764" s="3" t="s">
        <v>1632</v>
      </c>
      <c r="C764" s="28" t="s">
        <v>371</v>
      </c>
      <c r="D764" s="28" t="s">
        <v>2553</v>
      </c>
      <c r="E764" s="3" t="s">
        <v>3469</v>
      </c>
      <c r="F764" s="27">
        <v>1</v>
      </c>
      <c r="G764" s="28" t="s">
        <v>371</v>
      </c>
      <c r="H764" s="29"/>
    </row>
    <row r="765" spans="1:8" s="22" customFormat="1" ht="15.9" customHeight="1">
      <c r="A765" s="27">
        <v>761</v>
      </c>
      <c r="B765" s="3" t="s">
        <v>1633</v>
      </c>
      <c r="C765" s="28" t="s">
        <v>371</v>
      </c>
      <c r="D765" s="28" t="s">
        <v>2554</v>
      </c>
      <c r="E765" s="3" t="s">
        <v>3470</v>
      </c>
      <c r="F765" s="27">
        <v>1</v>
      </c>
      <c r="G765" s="28" t="s">
        <v>371</v>
      </c>
      <c r="H765" s="29"/>
    </row>
    <row r="766" spans="1:8" s="22" customFormat="1" ht="15.9" customHeight="1">
      <c r="A766" s="27">
        <v>762</v>
      </c>
      <c r="B766" s="3" t="s">
        <v>1634</v>
      </c>
      <c r="C766" s="28" t="s">
        <v>371</v>
      </c>
      <c r="D766" s="28" t="s">
        <v>2555</v>
      </c>
      <c r="E766" s="3" t="s">
        <v>3471</v>
      </c>
      <c r="F766" s="27">
        <v>1</v>
      </c>
      <c r="G766" s="28" t="s">
        <v>371</v>
      </c>
      <c r="H766" s="29"/>
    </row>
    <row r="767" spans="1:8" s="22" customFormat="1" ht="15.9" customHeight="1">
      <c r="A767" s="27">
        <v>763</v>
      </c>
      <c r="B767" s="3" t="s">
        <v>1635</v>
      </c>
      <c r="C767" s="28" t="s">
        <v>371</v>
      </c>
      <c r="D767" s="28" t="s">
        <v>2556</v>
      </c>
      <c r="E767" s="3" t="s">
        <v>3472</v>
      </c>
      <c r="F767" s="27">
        <v>1</v>
      </c>
      <c r="G767" s="28" t="s">
        <v>371</v>
      </c>
      <c r="H767" s="29"/>
    </row>
    <row r="768" spans="1:8" s="22" customFormat="1" ht="15.9" customHeight="1">
      <c r="A768" s="27">
        <v>764</v>
      </c>
      <c r="B768" s="3" t="s">
        <v>1636</v>
      </c>
      <c r="C768" s="28" t="s">
        <v>371</v>
      </c>
      <c r="D768" s="28" t="s">
        <v>2557</v>
      </c>
      <c r="E768" s="3" t="s">
        <v>3473</v>
      </c>
      <c r="F768" s="27">
        <v>1</v>
      </c>
      <c r="G768" s="28" t="s">
        <v>371</v>
      </c>
      <c r="H768" s="29"/>
    </row>
    <row r="769" spans="1:8" s="22" customFormat="1" ht="15.9" customHeight="1">
      <c r="A769" s="27">
        <v>765</v>
      </c>
      <c r="B769" s="3" t="s">
        <v>1637</v>
      </c>
      <c r="C769" s="28" t="s">
        <v>371</v>
      </c>
      <c r="D769" s="28" t="s">
        <v>2558</v>
      </c>
      <c r="E769" s="3" t="s">
        <v>3474</v>
      </c>
      <c r="F769" s="27">
        <v>1</v>
      </c>
      <c r="G769" s="28" t="s">
        <v>371</v>
      </c>
      <c r="H769" s="29"/>
    </row>
    <row r="770" spans="1:8" s="22" customFormat="1" ht="15.9" customHeight="1">
      <c r="A770" s="27">
        <v>766</v>
      </c>
      <c r="B770" s="3" t="s">
        <v>1638</v>
      </c>
      <c r="C770" s="28" t="s">
        <v>371</v>
      </c>
      <c r="D770" s="28" t="s">
        <v>2559</v>
      </c>
      <c r="E770" s="3" t="s">
        <v>3475</v>
      </c>
      <c r="F770" s="27">
        <v>1</v>
      </c>
      <c r="G770" s="28" t="s">
        <v>371</v>
      </c>
      <c r="H770" s="29"/>
    </row>
    <row r="771" spans="1:8" s="22" customFormat="1" ht="15.9" customHeight="1">
      <c r="A771" s="27">
        <v>767</v>
      </c>
      <c r="B771" s="3" t="s">
        <v>1639</v>
      </c>
      <c r="C771" s="28" t="s">
        <v>371</v>
      </c>
      <c r="D771" s="28" t="s">
        <v>2560</v>
      </c>
      <c r="E771" s="3" t="s">
        <v>3476</v>
      </c>
      <c r="F771" s="27">
        <v>1</v>
      </c>
      <c r="G771" s="28" t="s">
        <v>371</v>
      </c>
      <c r="H771" s="29"/>
    </row>
    <row r="772" spans="1:8" s="22" customFormat="1" ht="15.9" customHeight="1">
      <c r="A772" s="27">
        <v>768</v>
      </c>
      <c r="B772" s="3" t="s">
        <v>4683</v>
      </c>
      <c r="C772" s="28" t="s">
        <v>371</v>
      </c>
      <c r="D772" s="28" t="s">
        <v>4684</v>
      </c>
      <c r="E772" s="3" t="s">
        <v>4685</v>
      </c>
      <c r="F772" s="27">
        <v>1</v>
      </c>
      <c r="G772" s="28" t="s">
        <v>371</v>
      </c>
      <c r="H772" s="29"/>
    </row>
    <row r="773" spans="1:8" s="22" customFormat="1" ht="15.9" customHeight="1">
      <c r="A773" s="27">
        <v>769</v>
      </c>
      <c r="B773" s="3" t="s">
        <v>1640</v>
      </c>
      <c r="C773" s="28" t="s">
        <v>371</v>
      </c>
      <c r="D773" s="28" t="s">
        <v>2561</v>
      </c>
      <c r="E773" s="3" t="s">
        <v>3477</v>
      </c>
      <c r="F773" s="27">
        <v>1</v>
      </c>
      <c r="G773" s="28" t="s">
        <v>371</v>
      </c>
      <c r="H773" s="29"/>
    </row>
    <row r="774" spans="1:8" s="22" customFormat="1" ht="15.9" customHeight="1">
      <c r="A774" s="27">
        <v>770</v>
      </c>
      <c r="B774" s="3" t="s">
        <v>1641</v>
      </c>
      <c r="C774" s="28" t="s">
        <v>371</v>
      </c>
      <c r="D774" s="28" t="s">
        <v>2562</v>
      </c>
      <c r="E774" s="3" t="s">
        <v>3478</v>
      </c>
      <c r="F774" s="27">
        <v>1</v>
      </c>
      <c r="G774" s="28" t="s">
        <v>371</v>
      </c>
      <c r="H774" s="29"/>
    </row>
    <row r="775" spans="1:8" s="22" customFormat="1" ht="15.9" customHeight="1">
      <c r="A775" s="27">
        <v>771</v>
      </c>
      <c r="B775" s="3" t="s">
        <v>1642</v>
      </c>
      <c r="C775" s="28" t="s">
        <v>371</v>
      </c>
      <c r="D775" s="28" t="s">
        <v>2563</v>
      </c>
      <c r="E775" s="3" t="s">
        <v>3479</v>
      </c>
      <c r="F775" s="27">
        <v>1</v>
      </c>
      <c r="G775" s="28" t="s">
        <v>371</v>
      </c>
      <c r="H775" s="29"/>
    </row>
    <row r="776" spans="1:8" s="22" customFormat="1" ht="15.9" customHeight="1">
      <c r="A776" s="27">
        <v>772</v>
      </c>
      <c r="B776" s="3" t="s">
        <v>1643</v>
      </c>
      <c r="C776" s="28" t="s">
        <v>371</v>
      </c>
      <c r="D776" s="28" t="s">
        <v>2564</v>
      </c>
      <c r="E776" s="3" t="s">
        <v>3480</v>
      </c>
      <c r="F776" s="27">
        <v>1</v>
      </c>
      <c r="G776" s="28" t="s">
        <v>371</v>
      </c>
      <c r="H776" s="29"/>
    </row>
    <row r="777" spans="1:8" s="22" customFormat="1" ht="15.9" customHeight="1">
      <c r="A777" s="27">
        <v>773</v>
      </c>
      <c r="B777" s="3" t="s">
        <v>1644</v>
      </c>
      <c r="C777" s="28" t="s">
        <v>371</v>
      </c>
      <c r="D777" s="28" t="s">
        <v>2565</v>
      </c>
      <c r="E777" s="3" t="s">
        <v>3481</v>
      </c>
      <c r="F777" s="27">
        <v>1</v>
      </c>
      <c r="G777" s="28" t="s">
        <v>371</v>
      </c>
      <c r="H777" s="29"/>
    </row>
    <row r="778" spans="1:8" s="22" customFormat="1" ht="15.9" customHeight="1">
      <c r="A778" s="27">
        <v>774</v>
      </c>
      <c r="B778" s="3" t="s">
        <v>1645</v>
      </c>
      <c r="C778" s="28" t="s">
        <v>371</v>
      </c>
      <c r="D778" s="28" t="s">
        <v>2566</v>
      </c>
      <c r="E778" s="3" t="s">
        <v>3482</v>
      </c>
      <c r="F778" s="27">
        <v>1</v>
      </c>
      <c r="G778" s="28" t="s">
        <v>371</v>
      </c>
      <c r="H778" s="29"/>
    </row>
    <row r="779" spans="1:8" s="22" customFormat="1" ht="15.9" customHeight="1">
      <c r="A779" s="27">
        <v>775</v>
      </c>
      <c r="B779" s="3" t="s">
        <v>1646</v>
      </c>
      <c r="C779" s="28" t="s">
        <v>371</v>
      </c>
      <c r="D779" s="28" t="s">
        <v>2567</v>
      </c>
      <c r="E779" s="3" t="s">
        <v>3483</v>
      </c>
      <c r="F779" s="27">
        <v>1</v>
      </c>
      <c r="G779" s="28" t="s">
        <v>371</v>
      </c>
      <c r="H779" s="29"/>
    </row>
    <row r="780" spans="1:8" s="22" customFormat="1" ht="15.9" customHeight="1">
      <c r="A780" s="27">
        <v>776</v>
      </c>
      <c r="B780" s="3" t="s">
        <v>1647</v>
      </c>
      <c r="C780" s="28" t="s">
        <v>371</v>
      </c>
      <c r="D780" s="28" t="s">
        <v>2568</v>
      </c>
      <c r="E780" s="3" t="s">
        <v>3484</v>
      </c>
      <c r="F780" s="27">
        <v>1</v>
      </c>
      <c r="G780" s="28" t="s">
        <v>371</v>
      </c>
      <c r="H780" s="29"/>
    </row>
    <row r="781" spans="1:8" s="22" customFormat="1" ht="15.9" customHeight="1">
      <c r="A781" s="27">
        <v>777</v>
      </c>
      <c r="B781" s="3" t="s">
        <v>1648</v>
      </c>
      <c r="C781" s="28" t="s">
        <v>371</v>
      </c>
      <c r="D781" s="28" t="s">
        <v>2569</v>
      </c>
      <c r="E781" s="3" t="s">
        <v>3485</v>
      </c>
      <c r="F781" s="27">
        <v>1</v>
      </c>
      <c r="G781" s="28" t="s">
        <v>371</v>
      </c>
      <c r="H781" s="29"/>
    </row>
    <row r="782" spans="1:8" s="22" customFormat="1" ht="15.9" customHeight="1">
      <c r="A782" s="27">
        <v>778</v>
      </c>
      <c r="B782" s="3" t="s">
        <v>4686</v>
      </c>
      <c r="C782" s="28" t="s">
        <v>4638</v>
      </c>
      <c r="D782" s="28" t="s">
        <v>4687</v>
      </c>
      <c r="E782" s="3" t="s">
        <v>4688</v>
      </c>
      <c r="F782" s="27">
        <v>2</v>
      </c>
      <c r="G782" s="28" t="s">
        <v>4335</v>
      </c>
      <c r="H782" s="29"/>
    </row>
    <row r="783" spans="1:8" s="22" customFormat="1" ht="15.9" customHeight="1">
      <c r="A783" s="27">
        <v>779</v>
      </c>
      <c r="B783" s="3" t="s">
        <v>1649</v>
      </c>
      <c r="C783" s="28" t="s">
        <v>371</v>
      </c>
      <c r="D783" s="28" t="s">
        <v>2570</v>
      </c>
      <c r="E783" s="3" t="s">
        <v>3486</v>
      </c>
      <c r="F783" s="27">
        <v>1</v>
      </c>
      <c r="G783" s="28" t="s">
        <v>371</v>
      </c>
      <c r="H783" s="29"/>
    </row>
    <row r="784" spans="1:8" s="22" customFormat="1" ht="15.9" customHeight="1">
      <c r="A784" s="27">
        <v>780</v>
      </c>
      <c r="B784" s="3" t="s">
        <v>4689</v>
      </c>
      <c r="C784" s="28" t="s">
        <v>4690</v>
      </c>
      <c r="D784" s="28" t="s">
        <v>4691</v>
      </c>
      <c r="E784" s="3" t="s">
        <v>4692</v>
      </c>
      <c r="F784" s="27">
        <v>2</v>
      </c>
      <c r="G784" s="28" t="s">
        <v>4335</v>
      </c>
      <c r="H784" s="29"/>
    </row>
    <row r="785" spans="1:8" s="22" customFormat="1" ht="15.9" customHeight="1">
      <c r="A785" s="27">
        <v>781</v>
      </c>
      <c r="B785" s="3" t="s">
        <v>4693</v>
      </c>
      <c r="C785" s="28" t="s">
        <v>4638</v>
      </c>
      <c r="D785" s="28" t="s">
        <v>4694</v>
      </c>
      <c r="E785" s="3" t="s">
        <v>4695</v>
      </c>
      <c r="F785" s="27">
        <v>2</v>
      </c>
      <c r="G785" s="28" t="s">
        <v>4335</v>
      </c>
      <c r="H785" s="29"/>
    </row>
    <row r="786" spans="1:8" s="22" customFormat="1" ht="15.9" customHeight="1">
      <c r="A786" s="27">
        <v>782</v>
      </c>
      <c r="B786" s="3" t="s">
        <v>1650</v>
      </c>
      <c r="C786" s="28" t="s">
        <v>371</v>
      </c>
      <c r="D786" s="28" t="s">
        <v>2571</v>
      </c>
      <c r="E786" s="3" t="s">
        <v>3487</v>
      </c>
      <c r="F786" s="27">
        <v>1</v>
      </c>
      <c r="G786" s="28" t="s">
        <v>371</v>
      </c>
      <c r="H786" s="29"/>
    </row>
    <row r="787" spans="1:8" s="22" customFormat="1" ht="15.9" customHeight="1">
      <c r="A787" s="27">
        <v>783</v>
      </c>
      <c r="B787" s="3" t="s">
        <v>1651</v>
      </c>
      <c r="C787" s="28" t="s">
        <v>371</v>
      </c>
      <c r="D787" s="28" t="s">
        <v>2572</v>
      </c>
      <c r="E787" s="3" t="s">
        <v>3488</v>
      </c>
      <c r="F787" s="27">
        <v>1</v>
      </c>
      <c r="G787" s="28" t="s">
        <v>371</v>
      </c>
      <c r="H787" s="29"/>
    </row>
    <row r="788" spans="1:8" s="22" customFormat="1" ht="15.9" customHeight="1">
      <c r="A788" s="27">
        <v>784</v>
      </c>
      <c r="B788" s="3" t="s">
        <v>1652</v>
      </c>
      <c r="C788" s="28" t="s">
        <v>371</v>
      </c>
      <c r="D788" s="28" t="s">
        <v>2573</v>
      </c>
      <c r="E788" s="3" t="s">
        <v>3489</v>
      </c>
      <c r="F788" s="27">
        <v>1</v>
      </c>
      <c r="G788" s="28" t="s">
        <v>371</v>
      </c>
      <c r="H788" s="29"/>
    </row>
    <row r="789" spans="1:8" s="22" customFormat="1" ht="15.9" customHeight="1">
      <c r="A789" s="27">
        <v>785</v>
      </c>
      <c r="B789" s="3" t="s">
        <v>1653</v>
      </c>
      <c r="C789" s="28" t="s">
        <v>371</v>
      </c>
      <c r="D789" s="28" t="s">
        <v>2574</v>
      </c>
      <c r="E789" s="3" t="s">
        <v>3490</v>
      </c>
      <c r="F789" s="27">
        <v>1</v>
      </c>
      <c r="G789" s="28" t="s">
        <v>371</v>
      </c>
      <c r="H789" s="29"/>
    </row>
    <row r="790" spans="1:8" s="22" customFormat="1" ht="15.9" customHeight="1">
      <c r="A790" s="27">
        <v>786</v>
      </c>
      <c r="B790" s="3" t="s">
        <v>1654</v>
      </c>
      <c r="C790" s="28" t="s">
        <v>371</v>
      </c>
      <c r="D790" s="28" t="s">
        <v>2575</v>
      </c>
      <c r="E790" s="3" t="s">
        <v>3491</v>
      </c>
      <c r="F790" s="27">
        <v>1</v>
      </c>
      <c r="G790" s="28" t="s">
        <v>371</v>
      </c>
      <c r="H790" s="29"/>
    </row>
    <row r="791" spans="1:8" s="22" customFormat="1" ht="15.9" customHeight="1">
      <c r="A791" s="27">
        <v>787</v>
      </c>
      <c r="B791" s="3" t="s">
        <v>1655</v>
      </c>
      <c r="C791" s="28" t="s">
        <v>371</v>
      </c>
      <c r="D791" s="28" t="s">
        <v>2576</v>
      </c>
      <c r="E791" s="3" t="s">
        <v>3492</v>
      </c>
      <c r="F791" s="27">
        <v>1</v>
      </c>
      <c r="G791" s="28" t="s">
        <v>371</v>
      </c>
      <c r="H791" s="29"/>
    </row>
    <row r="792" spans="1:8" s="22" customFormat="1" ht="15.9" customHeight="1">
      <c r="A792" s="27">
        <v>788</v>
      </c>
      <c r="B792" s="3" t="s">
        <v>1656</v>
      </c>
      <c r="C792" s="28" t="s">
        <v>371</v>
      </c>
      <c r="D792" s="28" t="s">
        <v>2577</v>
      </c>
      <c r="E792" s="3" t="s">
        <v>3493</v>
      </c>
      <c r="F792" s="27">
        <v>1</v>
      </c>
      <c r="G792" s="28" t="s">
        <v>371</v>
      </c>
      <c r="H792" s="29"/>
    </row>
    <row r="793" spans="1:8" s="22" customFormat="1" ht="15.9" customHeight="1">
      <c r="A793" s="27">
        <v>789</v>
      </c>
      <c r="B793" s="3" t="s">
        <v>1657</v>
      </c>
      <c r="C793" s="28" t="s">
        <v>371</v>
      </c>
      <c r="D793" s="28" t="s">
        <v>2578</v>
      </c>
      <c r="E793" s="3" t="s">
        <v>3494</v>
      </c>
      <c r="F793" s="27">
        <v>1</v>
      </c>
      <c r="G793" s="28" t="s">
        <v>371</v>
      </c>
      <c r="H793" s="29"/>
    </row>
    <row r="794" spans="1:8" s="22" customFormat="1" ht="15.9" customHeight="1">
      <c r="A794" s="27">
        <v>790</v>
      </c>
      <c r="B794" s="3" t="s">
        <v>1658</v>
      </c>
      <c r="C794" s="28" t="s">
        <v>371</v>
      </c>
      <c r="D794" s="28" t="s">
        <v>2579</v>
      </c>
      <c r="E794" s="3" t="s">
        <v>3495</v>
      </c>
      <c r="F794" s="27">
        <v>1</v>
      </c>
      <c r="G794" s="28" t="s">
        <v>371</v>
      </c>
      <c r="H794" s="29"/>
    </row>
    <row r="795" spans="1:8" s="22" customFormat="1" ht="15.9" customHeight="1">
      <c r="A795" s="27">
        <v>791</v>
      </c>
      <c r="B795" s="3" t="s">
        <v>1659</v>
      </c>
      <c r="C795" s="28" t="s">
        <v>371</v>
      </c>
      <c r="D795" s="28" t="s">
        <v>2580</v>
      </c>
      <c r="E795" s="3" t="s">
        <v>3496</v>
      </c>
      <c r="F795" s="27">
        <v>1</v>
      </c>
      <c r="G795" s="28" t="s">
        <v>371</v>
      </c>
      <c r="H795" s="29"/>
    </row>
    <row r="796" spans="1:8" s="22" customFormat="1" ht="15.9" customHeight="1">
      <c r="A796" s="27">
        <v>792</v>
      </c>
      <c r="B796" s="3" t="s">
        <v>4696</v>
      </c>
      <c r="C796" s="28" t="s">
        <v>4638</v>
      </c>
      <c r="D796" s="28" t="s">
        <v>4697</v>
      </c>
      <c r="E796" s="3" t="s">
        <v>4698</v>
      </c>
      <c r="F796" s="27">
        <v>2</v>
      </c>
      <c r="G796" s="28" t="s">
        <v>4335</v>
      </c>
      <c r="H796" s="29"/>
    </row>
    <row r="797" spans="1:8" s="22" customFormat="1" ht="15.9" customHeight="1">
      <c r="A797" s="27">
        <v>793</v>
      </c>
      <c r="B797" s="3" t="s">
        <v>1660</v>
      </c>
      <c r="C797" s="28" t="s">
        <v>371</v>
      </c>
      <c r="D797" s="28" t="s">
        <v>2581</v>
      </c>
      <c r="E797" s="3" t="s">
        <v>3497</v>
      </c>
      <c r="F797" s="27">
        <v>1</v>
      </c>
      <c r="G797" s="28" t="s">
        <v>371</v>
      </c>
      <c r="H797" s="29"/>
    </row>
    <row r="798" spans="1:8" s="22" customFormat="1" ht="15.9" customHeight="1">
      <c r="A798" s="27">
        <v>794</v>
      </c>
      <c r="B798" s="3" t="s">
        <v>1661</v>
      </c>
      <c r="C798" s="28" t="s">
        <v>371</v>
      </c>
      <c r="D798" s="28" t="s">
        <v>2582</v>
      </c>
      <c r="E798" s="3" t="s">
        <v>3498</v>
      </c>
      <c r="F798" s="27">
        <v>1</v>
      </c>
      <c r="G798" s="28" t="s">
        <v>371</v>
      </c>
      <c r="H798" s="29"/>
    </row>
    <row r="799" spans="1:8" s="22" customFormat="1" ht="15.9" customHeight="1">
      <c r="A799" s="27">
        <v>795</v>
      </c>
      <c r="B799" s="3" t="s">
        <v>1662</v>
      </c>
      <c r="C799" s="28" t="s">
        <v>371</v>
      </c>
      <c r="D799" s="28" t="s">
        <v>2583</v>
      </c>
      <c r="E799" s="3" t="s">
        <v>3499</v>
      </c>
      <c r="F799" s="27">
        <v>1</v>
      </c>
      <c r="G799" s="28" t="s">
        <v>371</v>
      </c>
      <c r="H799" s="29"/>
    </row>
    <row r="800" spans="1:8" s="22" customFormat="1" ht="15.9" customHeight="1">
      <c r="A800" s="27">
        <v>796</v>
      </c>
      <c r="B800" s="3" t="s">
        <v>1663</v>
      </c>
      <c r="C800" s="28" t="s">
        <v>371</v>
      </c>
      <c r="D800" s="28" t="s">
        <v>2584</v>
      </c>
      <c r="E800" s="3" t="s">
        <v>3500</v>
      </c>
      <c r="F800" s="27">
        <v>1</v>
      </c>
      <c r="G800" s="28" t="s">
        <v>371</v>
      </c>
      <c r="H800" s="29"/>
    </row>
    <row r="801" spans="1:8" s="22" customFormat="1" ht="15.9" customHeight="1">
      <c r="A801" s="27">
        <v>797</v>
      </c>
      <c r="B801" s="3" t="s">
        <v>1664</v>
      </c>
      <c r="C801" s="28" t="s">
        <v>371</v>
      </c>
      <c r="D801" s="28" t="s">
        <v>2585</v>
      </c>
      <c r="E801" s="3" t="s">
        <v>3501</v>
      </c>
      <c r="F801" s="27">
        <v>1</v>
      </c>
      <c r="G801" s="28" t="s">
        <v>371</v>
      </c>
      <c r="H801" s="29"/>
    </row>
    <row r="802" spans="1:8" s="22" customFormat="1" ht="15.9" customHeight="1">
      <c r="A802" s="27">
        <v>798</v>
      </c>
      <c r="B802" s="3" t="s">
        <v>1665</v>
      </c>
      <c r="C802" s="28" t="s">
        <v>371</v>
      </c>
      <c r="D802" s="28" t="s">
        <v>2586</v>
      </c>
      <c r="E802" s="3" t="s">
        <v>3502</v>
      </c>
      <c r="F802" s="27">
        <v>1</v>
      </c>
      <c r="G802" s="28" t="s">
        <v>371</v>
      </c>
      <c r="H802" s="29"/>
    </row>
    <row r="803" spans="1:8" s="22" customFormat="1" ht="15.9" customHeight="1">
      <c r="A803" s="27">
        <v>799</v>
      </c>
      <c r="B803" s="3" t="s">
        <v>1666</v>
      </c>
      <c r="C803" s="28" t="s">
        <v>371</v>
      </c>
      <c r="D803" s="28" t="s">
        <v>2587</v>
      </c>
      <c r="E803" s="3" t="s">
        <v>3503</v>
      </c>
      <c r="F803" s="27">
        <v>1</v>
      </c>
      <c r="G803" s="28" t="s">
        <v>371</v>
      </c>
      <c r="H803" s="29"/>
    </row>
    <row r="804" spans="1:8" s="22" customFormat="1" ht="15.9" customHeight="1">
      <c r="A804" s="27">
        <v>800</v>
      </c>
      <c r="B804" s="3" t="s">
        <v>1667</v>
      </c>
      <c r="C804" s="28" t="s">
        <v>371</v>
      </c>
      <c r="D804" s="28" t="s">
        <v>2588</v>
      </c>
      <c r="E804" s="3" t="s">
        <v>3504</v>
      </c>
      <c r="F804" s="27">
        <v>1</v>
      </c>
      <c r="G804" s="28" t="s">
        <v>371</v>
      </c>
      <c r="H804" s="29"/>
    </row>
    <row r="805" spans="1:8" s="22" customFormat="1" ht="15.9" customHeight="1">
      <c r="A805" s="27">
        <v>801</v>
      </c>
      <c r="B805" s="3" t="s">
        <v>1668</v>
      </c>
      <c r="C805" s="28" t="s">
        <v>371</v>
      </c>
      <c r="D805" s="28" t="s">
        <v>2589</v>
      </c>
      <c r="E805" s="3" t="s">
        <v>3505</v>
      </c>
      <c r="F805" s="27">
        <v>1</v>
      </c>
      <c r="G805" s="28" t="s">
        <v>371</v>
      </c>
      <c r="H805" s="29"/>
    </row>
    <row r="806" spans="1:8" s="22" customFormat="1" ht="15.9" customHeight="1">
      <c r="A806" s="27">
        <v>802</v>
      </c>
      <c r="B806" s="3" t="s">
        <v>1669</v>
      </c>
      <c r="C806" s="28" t="s">
        <v>4699</v>
      </c>
      <c r="D806" s="28" t="s">
        <v>2590</v>
      </c>
      <c r="E806" s="3" t="s">
        <v>3506</v>
      </c>
      <c r="F806" s="27">
        <v>1</v>
      </c>
      <c r="G806" s="28" t="s">
        <v>371</v>
      </c>
      <c r="H806" s="29"/>
    </row>
    <row r="807" spans="1:8" s="22" customFormat="1" ht="15.9" customHeight="1">
      <c r="A807" s="27">
        <v>803</v>
      </c>
      <c r="B807" s="3" t="s">
        <v>1670</v>
      </c>
      <c r="C807" s="28" t="s">
        <v>371</v>
      </c>
      <c r="D807" s="28" t="s">
        <v>2591</v>
      </c>
      <c r="E807" s="3" t="s">
        <v>3507</v>
      </c>
      <c r="F807" s="27">
        <v>1</v>
      </c>
      <c r="G807" s="28" t="s">
        <v>371</v>
      </c>
      <c r="H807" s="29"/>
    </row>
    <row r="808" spans="1:8" s="22" customFormat="1" ht="15.9" customHeight="1">
      <c r="A808" s="27">
        <v>804</v>
      </c>
      <c r="B808" s="3" t="s">
        <v>1671</v>
      </c>
      <c r="C808" s="28" t="s">
        <v>371</v>
      </c>
      <c r="D808" s="28" t="s">
        <v>2592</v>
      </c>
      <c r="E808" s="3" t="s">
        <v>3508</v>
      </c>
      <c r="F808" s="27">
        <v>1</v>
      </c>
      <c r="G808" s="28" t="s">
        <v>371</v>
      </c>
      <c r="H808" s="29"/>
    </row>
    <row r="809" spans="1:8" s="22" customFormat="1" ht="15.9" customHeight="1">
      <c r="A809" s="27">
        <v>805</v>
      </c>
      <c r="B809" s="3" t="s">
        <v>1672</v>
      </c>
      <c r="C809" s="28" t="s">
        <v>371</v>
      </c>
      <c r="D809" s="28" t="s">
        <v>2593</v>
      </c>
      <c r="E809" s="3" t="s">
        <v>3509</v>
      </c>
      <c r="F809" s="27">
        <v>1</v>
      </c>
      <c r="G809" s="28" t="s">
        <v>371</v>
      </c>
      <c r="H809" s="29"/>
    </row>
    <row r="810" spans="1:8" s="22" customFormat="1" ht="15.9" customHeight="1">
      <c r="A810" s="27">
        <v>806</v>
      </c>
      <c r="B810" s="3" t="s">
        <v>1673</v>
      </c>
      <c r="C810" s="28" t="s">
        <v>371</v>
      </c>
      <c r="D810" s="28" t="s">
        <v>2594</v>
      </c>
      <c r="E810" s="3" t="s">
        <v>3510</v>
      </c>
      <c r="F810" s="27">
        <v>1</v>
      </c>
      <c r="G810" s="28" t="s">
        <v>371</v>
      </c>
      <c r="H810" s="29"/>
    </row>
    <row r="811" spans="1:8" s="22" customFormat="1" ht="15.9" customHeight="1">
      <c r="A811" s="27">
        <v>807</v>
      </c>
      <c r="B811" s="3" t="s">
        <v>1674</v>
      </c>
      <c r="C811" s="28" t="s">
        <v>371</v>
      </c>
      <c r="D811" s="28" t="s">
        <v>2595</v>
      </c>
      <c r="E811" s="3" t="s">
        <v>3511</v>
      </c>
      <c r="F811" s="27">
        <v>1</v>
      </c>
      <c r="G811" s="28" t="s">
        <v>371</v>
      </c>
      <c r="H811" s="29"/>
    </row>
    <row r="812" spans="1:8" s="22" customFormat="1" ht="15.9" customHeight="1">
      <c r="A812" s="27">
        <v>808</v>
      </c>
      <c r="B812" s="3" t="s">
        <v>1675</v>
      </c>
      <c r="C812" s="28" t="s">
        <v>371</v>
      </c>
      <c r="D812" s="28" t="s">
        <v>2596</v>
      </c>
      <c r="E812" s="3" t="s">
        <v>3512</v>
      </c>
      <c r="F812" s="27">
        <v>1</v>
      </c>
      <c r="G812" s="28" t="s">
        <v>371</v>
      </c>
      <c r="H812" s="29"/>
    </row>
    <row r="813" spans="1:8" s="22" customFormat="1" ht="15.9" customHeight="1">
      <c r="A813" s="27">
        <v>809</v>
      </c>
      <c r="B813" s="3" t="s">
        <v>1676</v>
      </c>
      <c r="C813" s="28" t="s">
        <v>371</v>
      </c>
      <c r="D813" s="28" t="s">
        <v>2597</v>
      </c>
      <c r="E813" s="3" t="s">
        <v>3513</v>
      </c>
      <c r="F813" s="27">
        <v>1</v>
      </c>
      <c r="G813" s="28" t="s">
        <v>371</v>
      </c>
      <c r="H813" s="29"/>
    </row>
    <row r="814" spans="1:8" s="22" customFormat="1" ht="15.9" customHeight="1">
      <c r="A814" s="27">
        <v>810</v>
      </c>
      <c r="B814" s="3" t="s">
        <v>1677</v>
      </c>
      <c r="C814" s="28" t="s">
        <v>371</v>
      </c>
      <c r="D814" s="28" t="s">
        <v>2598</v>
      </c>
      <c r="E814" s="3" t="s">
        <v>3514</v>
      </c>
      <c r="F814" s="27">
        <v>1</v>
      </c>
      <c r="G814" s="28" t="s">
        <v>371</v>
      </c>
      <c r="H814" s="29"/>
    </row>
    <row r="815" spans="1:8" s="22" customFormat="1" ht="15.9" customHeight="1">
      <c r="A815" s="27">
        <v>811</v>
      </c>
      <c r="B815" s="3" t="s">
        <v>1678</v>
      </c>
      <c r="C815" s="28" t="s">
        <v>371</v>
      </c>
      <c r="D815" s="28" t="s">
        <v>2599</v>
      </c>
      <c r="E815" s="3" t="s">
        <v>3515</v>
      </c>
      <c r="F815" s="27">
        <v>1</v>
      </c>
      <c r="G815" s="28" t="s">
        <v>371</v>
      </c>
      <c r="H815" s="29"/>
    </row>
    <row r="816" spans="1:8" s="22" customFormat="1" ht="15.9" customHeight="1">
      <c r="A816" s="27">
        <v>812</v>
      </c>
      <c r="B816" s="3" t="s">
        <v>1679</v>
      </c>
      <c r="C816" s="28" t="s">
        <v>371</v>
      </c>
      <c r="D816" s="28" t="s">
        <v>2600</v>
      </c>
      <c r="E816" s="3" t="s">
        <v>3516</v>
      </c>
      <c r="F816" s="27">
        <v>1</v>
      </c>
      <c r="G816" s="28" t="s">
        <v>371</v>
      </c>
      <c r="H816" s="29"/>
    </row>
    <row r="817" spans="1:8" s="22" customFormat="1" ht="15.9" customHeight="1">
      <c r="A817" s="27">
        <v>813</v>
      </c>
      <c r="B817" s="3" t="s">
        <v>1680</v>
      </c>
      <c r="C817" s="28" t="s">
        <v>371</v>
      </c>
      <c r="D817" s="28" t="s">
        <v>2601</v>
      </c>
      <c r="E817" s="3" t="s">
        <v>3517</v>
      </c>
      <c r="F817" s="27">
        <v>1</v>
      </c>
      <c r="G817" s="28" t="s">
        <v>371</v>
      </c>
      <c r="H817" s="29"/>
    </row>
    <row r="818" spans="1:8" s="22" customFormat="1" ht="15.9" customHeight="1">
      <c r="A818" s="27">
        <v>814</v>
      </c>
      <c r="B818" s="3" t="s">
        <v>1681</v>
      </c>
      <c r="C818" s="28" t="s">
        <v>371</v>
      </c>
      <c r="D818" s="28" t="s">
        <v>2602</v>
      </c>
      <c r="E818" s="3" t="s">
        <v>3518</v>
      </c>
      <c r="F818" s="27">
        <v>1</v>
      </c>
      <c r="G818" s="28" t="s">
        <v>371</v>
      </c>
      <c r="H818" s="29"/>
    </row>
    <row r="819" spans="1:8" s="22" customFormat="1" ht="15.9" customHeight="1">
      <c r="A819" s="27">
        <v>815</v>
      </c>
      <c r="B819" s="3" t="s">
        <v>1682</v>
      </c>
      <c r="C819" s="28" t="s">
        <v>371</v>
      </c>
      <c r="D819" s="28" t="s">
        <v>2603</v>
      </c>
      <c r="E819" s="3" t="s">
        <v>3519</v>
      </c>
      <c r="F819" s="27">
        <v>1</v>
      </c>
      <c r="G819" s="28" t="s">
        <v>371</v>
      </c>
      <c r="H819" s="29"/>
    </row>
    <row r="820" spans="1:8" s="22" customFormat="1" ht="15.9" customHeight="1">
      <c r="A820" s="27">
        <v>816</v>
      </c>
      <c r="B820" s="3" t="s">
        <v>1683</v>
      </c>
      <c r="C820" s="28" t="s">
        <v>371</v>
      </c>
      <c r="D820" s="28" t="s">
        <v>2604</v>
      </c>
      <c r="E820" s="3" t="s">
        <v>3520</v>
      </c>
      <c r="F820" s="27">
        <v>1</v>
      </c>
      <c r="G820" s="28" t="s">
        <v>371</v>
      </c>
      <c r="H820" s="29"/>
    </row>
    <row r="821" spans="1:8" s="22" customFormat="1" ht="15.9" customHeight="1">
      <c r="A821" s="27">
        <v>817</v>
      </c>
      <c r="B821" s="3" t="s">
        <v>1684</v>
      </c>
      <c r="C821" s="28" t="s">
        <v>371</v>
      </c>
      <c r="D821" s="28" t="s">
        <v>2605</v>
      </c>
      <c r="E821" s="3" t="s">
        <v>3521</v>
      </c>
      <c r="F821" s="27">
        <v>1</v>
      </c>
      <c r="G821" s="28" t="s">
        <v>371</v>
      </c>
      <c r="H821" s="29"/>
    </row>
    <row r="822" spans="1:8" s="22" customFormat="1" ht="15.9" customHeight="1">
      <c r="A822" s="27">
        <v>818</v>
      </c>
      <c r="B822" s="3" t="s">
        <v>1685</v>
      </c>
      <c r="C822" s="28" t="s">
        <v>371</v>
      </c>
      <c r="D822" s="28" t="s">
        <v>2606</v>
      </c>
      <c r="E822" s="3" t="s">
        <v>3522</v>
      </c>
      <c r="F822" s="27">
        <v>1</v>
      </c>
      <c r="G822" s="28" t="s">
        <v>371</v>
      </c>
      <c r="H822" s="29"/>
    </row>
    <row r="823" spans="1:8" s="22" customFormat="1" ht="15.9" customHeight="1">
      <c r="A823" s="27">
        <v>819</v>
      </c>
      <c r="B823" s="3" t="s">
        <v>1686</v>
      </c>
      <c r="C823" s="28" t="s">
        <v>371</v>
      </c>
      <c r="D823" s="28" t="s">
        <v>2607</v>
      </c>
      <c r="E823" s="3" t="s">
        <v>3523</v>
      </c>
      <c r="F823" s="27">
        <v>1</v>
      </c>
      <c r="G823" s="28" t="s">
        <v>371</v>
      </c>
      <c r="H823" s="29"/>
    </row>
    <row r="824" spans="1:8" s="22" customFormat="1" ht="15.9" customHeight="1">
      <c r="A824" s="27">
        <v>820</v>
      </c>
      <c r="B824" s="3" t="s">
        <v>1687</v>
      </c>
      <c r="C824" s="28" t="s">
        <v>371</v>
      </c>
      <c r="D824" s="28" t="s">
        <v>2608</v>
      </c>
      <c r="E824" s="3" t="s">
        <v>3524</v>
      </c>
      <c r="F824" s="27">
        <v>1</v>
      </c>
      <c r="G824" s="28" t="s">
        <v>371</v>
      </c>
      <c r="H824" s="29"/>
    </row>
    <row r="825" spans="1:8" s="22" customFormat="1" ht="15.9" customHeight="1">
      <c r="A825" s="27">
        <v>821</v>
      </c>
      <c r="B825" s="3" t="s">
        <v>1688</v>
      </c>
      <c r="C825" s="28" t="s">
        <v>371</v>
      </c>
      <c r="D825" s="28" t="s">
        <v>2609</v>
      </c>
      <c r="E825" s="3" t="s">
        <v>3525</v>
      </c>
      <c r="F825" s="27">
        <v>1</v>
      </c>
      <c r="G825" s="28" t="s">
        <v>371</v>
      </c>
      <c r="H825" s="29"/>
    </row>
    <row r="826" spans="1:8" s="22" customFormat="1" ht="15.9" customHeight="1">
      <c r="A826" s="27">
        <v>822</v>
      </c>
      <c r="B826" s="3" t="s">
        <v>1689</v>
      </c>
      <c r="C826" s="28" t="s">
        <v>371</v>
      </c>
      <c r="D826" s="28" t="s">
        <v>2610</v>
      </c>
      <c r="E826" s="3" t="s">
        <v>3526</v>
      </c>
      <c r="F826" s="27">
        <v>1</v>
      </c>
      <c r="G826" s="28" t="s">
        <v>371</v>
      </c>
      <c r="H826" s="29"/>
    </row>
    <row r="827" spans="1:8" s="22" customFormat="1" ht="15.9" customHeight="1">
      <c r="A827" s="27">
        <v>823</v>
      </c>
      <c r="B827" s="3" t="s">
        <v>1690</v>
      </c>
      <c r="C827" s="28" t="s">
        <v>371</v>
      </c>
      <c r="D827" s="28" t="s">
        <v>2611</v>
      </c>
      <c r="E827" s="3" t="s">
        <v>3527</v>
      </c>
      <c r="F827" s="27">
        <v>1</v>
      </c>
      <c r="G827" s="28" t="s">
        <v>371</v>
      </c>
      <c r="H827" s="29"/>
    </row>
    <row r="828" spans="1:8" s="22" customFormat="1" ht="15.9" customHeight="1">
      <c r="A828" s="27">
        <v>824</v>
      </c>
      <c r="B828" s="3" t="s">
        <v>4700</v>
      </c>
      <c r="C828" s="28" t="s">
        <v>4638</v>
      </c>
      <c r="D828" s="28" t="s">
        <v>4701</v>
      </c>
      <c r="E828" s="3" t="s">
        <v>4702</v>
      </c>
      <c r="F828" s="27">
        <v>2</v>
      </c>
      <c r="G828" s="28" t="s">
        <v>4335</v>
      </c>
      <c r="H828" s="29"/>
    </row>
    <row r="829" spans="1:8" s="22" customFormat="1" ht="15.9" customHeight="1">
      <c r="A829" s="27">
        <v>825</v>
      </c>
      <c r="B829" s="3" t="s">
        <v>1691</v>
      </c>
      <c r="C829" s="28" t="s">
        <v>371</v>
      </c>
      <c r="D829" s="28" t="s">
        <v>2612</v>
      </c>
      <c r="E829" s="3" t="s">
        <v>3528</v>
      </c>
      <c r="F829" s="27">
        <v>1</v>
      </c>
      <c r="G829" s="28" t="s">
        <v>371</v>
      </c>
      <c r="H829" s="29"/>
    </row>
    <row r="830" spans="1:8" s="22" customFormat="1" ht="15.9" customHeight="1">
      <c r="A830" s="27">
        <v>826</v>
      </c>
      <c r="B830" s="3" t="s">
        <v>1692</v>
      </c>
      <c r="C830" s="28" t="s">
        <v>371</v>
      </c>
      <c r="D830" s="28" t="s">
        <v>2613</v>
      </c>
      <c r="E830" s="3" t="s">
        <v>3529</v>
      </c>
      <c r="F830" s="27">
        <v>1</v>
      </c>
      <c r="G830" s="28" t="s">
        <v>371</v>
      </c>
      <c r="H830" s="29"/>
    </row>
    <row r="831" spans="1:8" s="22" customFormat="1" ht="15.9" customHeight="1">
      <c r="A831" s="27">
        <v>827</v>
      </c>
      <c r="B831" s="3" t="s">
        <v>1693</v>
      </c>
      <c r="C831" s="28" t="s">
        <v>371</v>
      </c>
      <c r="D831" s="28" t="s">
        <v>2614</v>
      </c>
      <c r="E831" s="3" t="s">
        <v>3530</v>
      </c>
      <c r="F831" s="27">
        <v>1</v>
      </c>
      <c r="G831" s="28" t="s">
        <v>371</v>
      </c>
      <c r="H831" s="29"/>
    </row>
    <row r="832" spans="1:8" s="22" customFormat="1" ht="15.9" customHeight="1">
      <c r="A832" s="27">
        <v>828</v>
      </c>
      <c r="B832" s="3" t="s">
        <v>1694</v>
      </c>
      <c r="C832" s="28" t="s">
        <v>371</v>
      </c>
      <c r="D832" s="28" t="s">
        <v>2615</v>
      </c>
      <c r="E832" s="3" t="s">
        <v>3531</v>
      </c>
      <c r="F832" s="27">
        <v>1</v>
      </c>
      <c r="G832" s="28" t="s">
        <v>371</v>
      </c>
      <c r="H832" s="29"/>
    </row>
    <row r="833" spans="1:8" s="22" customFormat="1" ht="15.9" customHeight="1">
      <c r="A833" s="27">
        <v>829</v>
      </c>
      <c r="B833" s="3" t="s">
        <v>1695</v>
      </c>
      <c r="C833" s="28" t="s">
        <v>371</v>
      </c>
      <c r="D833" s="28" t="s">
        <v>2616</v>
      </c>
      <c r="E833" s="3" t="s">
        <v>3532</v>
      </c>
      <c r="F833" s="27">
        <v>1</v>
      </c>
      <c r="G833" s="28" t="s">
        <v>371</v>
      </c>
      <c r="H833" s="29"/>
    </row>
    <row r="834" spans="1:8" s="22" customFormat="1" ht="15.9" customHeight="1">
      <c r="A834" s="27">
        <v>830</v>
      </c>
      <c r="B834" s="3" t="s">
        <v>4703</v>
      </c>
      <c r="C834" s="28" t="s">
        <v>4638</v>
      </c>
      <c r="D834" s="28" t="s">
        <v>4704</v>
      </c>
      <c r="E834" s="3" t="s">
        <v>4705</v>
      </c>
      <c r="F834" s="27">
        <v>2</v>
      </c>
      <c r="G834" s="28" t="s">
        <v>4335</v>
      </c>
      <c r="H834" s="29"/>
    </row>
    <row r="835" spans="1:8" s="22" customFormat="1" ht="15.9" customHeight="1">
      <c r="A835" s="27">
        <v>831</v>
      </c>
      <c r="B835" s="3" t="s">
        <v>1696</v>
      </c>
      <c r="C835" s="28" t="s">
        <v>371</v>
      </c>
      <c r="D835" s="28" t="s">
        <v>2617</v>
      </c>
      <c r="E835" s="3" t="s">
        <v>3533</v>
      </c>
      <c r="F835" s="27">
        <v>1</v>
      </c>
      <c r="G835" s="28" t="s">
        <v>371</v>
      </c>
      <c r="H835" s="29"/>
    </row>
    <row r="836" spans="1:8" s="22" customFormat="1" ht="15.9" customHeight="1">
      <c r="A836" s="27">
        <v>832</v>
      </c>
      <c r="B836" s="3" t="s">
        <v>1697</v>
      </c>
      <c r="C836" s="28" t="s">
        <v>371</v>
      </c>
      <c r="D836" s="28" t="s">
        <v>2618</v>
      </c>
      <c r="E836" s="3" t="s">
        <v>3534</v>
      </c>
      <c r="F836" s="27">
        <v>1</v>
      </c>
      <c r="G836" s="28" t="s">
        <v>371</v>
      </c>
      <c r="H836" s="29"/>
    </row>
    <row r="837" spans="1:8" s="22" customFormat="1" ht="15.9" customHeight="1">
      <c r="A837" s="27">
        <v>833</v>
      </c>
      <c r="B837" s="3" t="s">
        <v>1698</v>
      </c>
      <c r="C837" s="28" t="s">
        <v>371</v>
      </c>
      <c r="D837" s="28" t="s">
        <v>2619</v>
      </c>
      <c r="E837" s="3" t="s">
        <v>3535</v>
      </c>
      <c r="F837" s="27">
        <v>1</v>
      </c>
      <c r="G837" s="28" t="s">
        <v>371</v>
      </c>
      <c r="H837" s="29"/>
    </row>
    <row r="838" spans="1:8" s="22" customFormat="1" ht="15.9" customHeight="1">
      <c r="A838" s="27">
        <v>834</v>
      </c>
      <c r="B838" s="3" t="s">
        <v>1699</v>
      </c>
      <c r="C838" s="28" t="s">
        <v>371</v>
      </c>
      <c r="D838" s="28" t="s">
        <v>2620</v>
      </c>
      <c r="E838" s="3" t="s">
        <v>3536</v>
      </c>
      <c r="F838" s="27">
        <v>1</v>
      </c>
      <c r="G838" s="28" t="s">
        <v>371</v>
      </c>
      <c r="H838" s="29"/>
    </row>
    <row r="839" spans="1:8" s="22" customFormat="1" ht="15.9" customHeight="1">
      <c r="A839" s="27">
        <v>835</v>
      </c>
      <c r="B839" s="3" t="s">
        <v>1700</v>
      </c>
      <c r="C839" s="28" t="s">
        <v>371</v>
      </c>
      <c r="D839" s="28" t="s">
        <v>2621</v>
      </c>
      <c r="E839" s="3" t="s">
        <v>3537</v>
      </c>
      <c r="F839" s="27">
        <v>1</v>
      </c>
      <c r="G839" s="28" t="s">
        <v>371</v>
      </c>
      <c r="H839" s="29"/>
    </row>
    <row r="840" spans="1:8" s="22" customFormat="1" ht="15.9" customHeight="1">
      <c r="A840" s="27">
        <v>836</v>
      </c>
      <c r="B840" s="3" t="s">
        <v>1701</v>
      </c>
      <c r="C840" s="28" t="s">
        <v>371</v>
      </c>
      <c r="D840" s="28" t="s">
        <v>2622</v>
      </c>
      <c r="E840" s="3" t="s">
        <v>3538</v>
      </c>
      <c r="F840" s="27">
        <v>1</v>
      </c>
      <c r="G840" s="28" t="s">
        <v>371</v>
      </c>
      <c r="H840" s="29"/>
    </row>
    <row r="841" spans="1:8" s="22" customFormat="1" ht="15.9" customHeight="1">
      <c r="A841" s="27">
        <v>837</v>
      </c>
      <c r="B841" s="3" t="s">
        <v>1702</v>
      </c>
      <c r="C841" s="28" t="s">
        <v>371</v>
      </c>
      <c r="D841" s="28" t="s">
        <v>2623</v>
      </c>
      <c r="E841" s="3" t="s">
        <v>3539</v>
      </c>
      <c r="F841" s="27">
        <v>1</v>
      </c>
      <c r="G841" s="28" t="s">
        <v>371</v>
      </c>
      <c r="H841" s="29"/>
    </row>
    <row r="842" spans="1:8" s="22" customFormat="1" ht="15.9" customHeight="1">
      <c r="A842" s="27">
        <v>838</v>
      </c>
      <c r="B842" s="3" t="s">
        <v>1703</v>
      </c>
      <c r="C842" s="28" t="s">
        <v>371</v>
      </c>
      <c r="D842" s="28" t="s">
        <v>2624</v>
      </c>
      <c r="E842" s="3" t="s">
        <v>3540</v>
      </c>
      <c r="F842" s="27">
        <v>1</v>
      </c>
      <c r="G842" s="28" t="s">
        <v>371</v>
      </c>
      <c r="H842" s="29"/>
    </row>
    <row r="843" spans="1:8" s="22" customFormat="1" ht="15.9" customHeight="1">
      <c r="A843" s="27">
        <v>839</v>
      </c>
      <c r="B843" s="3" t="s">
        <v>1704</v>
      </c>
      <c r="C843" s="28" t="s">
        <v>371</v>
      </c>
      <c r="D843" s="28" t="s">
        <v>2625</v>
      </c>
      <c r="E843" s="3" t="s">
        <v>3541</v>
      </c>
      <c r="F843" s="27">
        <v>1</v>
      </c>
      <c r="G843" s="28" t="s">
        <v>371</v>
      </c>
      <c r="H843" s="29"/>
    </row>
    <row r="844" spans="1:8" s="22" customFormat="1" ht="15.9" customHeight="1">
      <c r="A844" s="27">
        <v>840</v>
      </c>
      <c r="B844" s="3" t="s">
        <v>1705</v>
      </c>
      <c r="C844" s="28" t="s">
        <v>371</v>
      </c>
      <c r="D844" s="28" t="s">
        <v>2626</v>
      </c>
      <c r="E844" s="3" t="s">
        <v>3542</v>
      </c>
      <c r="F844" s="27">
        <v>1</v>
      </c>
      <c r="G844" s="28" t="s">
        <v>371</v>
      </c>
      <c r="H844" s="29"/>
    </row>
    <row r="845" spans="1:8" s="22" customFormat="1" ht="15.9" customHeight="1">
      <c r="A845" s="27">
        <v>841</v>
      </c>
      <c r="B845" s="3" t="s">
        <v>1706</v>
      </c>
      <c r="C845" s="28" t="s">
        <v>371</v>
      </c>
      <c r="D845" s="28" t="s">
        <v>2627</v>
      </c>
      <c r="E845" s="3" t="s">
        <v>3543</v>
      </c>
      <c r="F845" s="27">
        <v>1</v>
      </c>
      <c r="G845" s="28" t="s">
        <v>371</v>
      </c>
      <c r="H845" s="29"/>
    </row>
    <row r="846" spans="1:8" s="22" customFormat="1" ht="15.9" customHeight="1">
      <c r="A846" s="27">
        <v>842</v>
      </c>
      <c r="B846" s="3" t="s">
        <v>1707</v>
      </c>
      <c r="C846" s="28" t="s">
        <v>371</v>
      </c>
      <c r="D846" s="28" t="s">
        <v>2628</v>
      </c>
      <c r="E846" s="3" t="s">
        <v>3544</v>
      </c>
      <c r="F846" s="27">
        <v>1</v>
      </c>
      <c r="G846" s="28" t="s">
        <v>371</v>
      </c>
      <c r="H846" s="29"/>
    </row>
    <row r="847" spans="1:8" s="22" customFormat="1" ht="15.9" customHeight="1">
      <c r="A847" s="27">
        <v>843</v>
      </c>
      <c r="B847" s="3" t="s">
        <v>1708</v>
      </c>
      <c r="C847" s="28" t="s">
        <v>371</v>
      </c>
      <c r="D847" s="28" t="s">
        <v>2629</v>
      </c>
      <c r="E847" s="3" t="s">
        <v>3545</v>
      </c>
      <c r="F847" s="27">
        <v>1</v>
      </c>
      <c r="G847" s="28" t="s">
        <v>371</v>
      </c>
      <c r="H847" s="29"/>
    </row>
    <row r="848" spans="1:8" s="22" customFormat="1" ht="15.9" customHeight="1">
      <c r="A848" s="27">
        <v>844</v>
      </c>
      <c r="B848" s="3" t="s">
        <v>1709</v>
      </c>
      <c r="C848" s="28" t="s">
        <v>371</v>
      </c>
      <c r="D848" s="28" t="s">
        <v>2630</v>
      </c>
      <c r="E848" s="3" t="s">
        <v>3546</v>
      </c>
      <c r="F848" s="27">
        <v>1</v>
      </c>
      <c r="G848" s="28" t="s">
        <v>371</v>
      </c>
      <c r="H848" s="29"/>
    </row>
    <row r="849" spans="1:8" s="22" customFormat="1" ht="15.9" customHeight="1">
      <c r="A849" s="27">
        <v>845</v>
      </c>
      <c r="B849" s="3" t="s">
        <v>1710</v>
      </c>
      <c r="C849" s="28" t="s">
        <v>371</v>
      </c>
      <c r="D849" s="28" t="s">
        <v>2631</v>
      </c>
      <c r="E849" s="3" t="s">
        <v>3547</v>
      </c>
      <c r="F849" s="27">
        <v>1</v>
      </c>
      <c r="G849" s="28" t="s">
        <v>371</v>
      </c>
      <c r="H849" s="29"/>
    </row>
    <row r="850" spans="1:8" s="22" customFormat="1" ht="15.9" customHeight="1">
      <c r="A850" s="27">
        <v>846</v>
      </c>
      <c r="B850" s="3" t="s">
        <v>1711</v>
      </c>
      <c r="C850" s="28" t="s">
        <v>371</v>
      </c>
      <c r="D850" s="28" t="s">
        <v>2632</v>
      </c>
      <c r="E850" s="3" t="s">
        <v>3548</v>
      </c>
      <c r="F850" s="27">
        <v>1</v>
      </c>
      <c r="G850" s="28" t="s">
        <v>371</v>
      </c>
      <c r="H850" s="29"/>
    </row>
    <row r="851" spans="1:8" s="22" customFormat="1" ht="15.9" customHeight="1">
      <c r="A851" s="27">
        <v>847</v>
      </c>
      <c r="B851" s="3" t="s">
        <v>1712</v>
      </c>
      <c r="C851" s="28" t="s">
        <v>371</v>
      </c>
      <c r="D851" s="28" t="s">
        <v>2633</v>
      </c>
      <c r="E851" s="3" t="s">
        <v>3549</v>
      </c>
      <c r="F851" s="27">
        <v>1</v>
      </c>
      <c r="G851" s="28" t="s">
        <v>371</v>
      </c>
      <c r="H851" s="29"/>
    </row>
    <row r="852" spans="1:8" s="22" customFormat="1" ht="15.9" customHeight="1">
      <c r="A852" s="27">
        <v>848</v>
      </c>
      <c r="B852" s="3" t="s">
        <v>1713</v>
      </c>
      <c r="C852" s="28" t="s">
        <v>371</v>
      </c>
      <c r="D852" s="28" t="s">
        <v>2634</v>
      </c>
      <c r="E852" s="3" t="s">
        <v>3550</v>
      </c>
      <c r="F852" s="27">
        <v>1</v>
      </c>
      <c r="G852" s="28" t="s">
        <v>371</v>
      </c>
      <c r="H852" s="29"/>
    </row>
    <row r="853" spans="1:8" s="22" customFormat="1" ht="15.9" customHeight="1">
      <c r="A853" s="27">
        <v>849</v>
      </c>
      <c r="B853" s="3" t="s">
        <v>1714</v>
      </c>
      <c r="C853" s="28" t="s">
        <v>371</v>
      </c>
      <c r="D853" s="28" t="s">
        <v>2635</v>
      </c>
      <c r="E853" s="3" t="s">
        <v>3551</v>
      </c>
      <c r="F853" s="27">
        <v>1</v>
      </c>
      <c r="G853" s="28" t="s">
        <v>371</v>
      </c>
      <c r="H853" s="29"/>
    </row>
    <row r="854" spans="1:8" s="22" customFormat="1" ht="15.9" customHeight="1">
      <c r="A854" s="27">
        <v>850</v>
      </c>
      <c r="B854" s="3" t="s">
        <v>1715</v>
      </c>
      <c r="C854" s="28" t="s">
        <v>371</v>
      </c>
      <c r="D854" s="28" t="s">
        <v>2636</v>
      </c>
      <c r="E854" s="3" t="s">
        <v>3552</v>
      </c>
      <c r="F854" s="27">
        <v>1</v>
      </c>
      <c r="G854" s="28" t="s">
        <v>371</v>
      </c>
      <c r="H854" s="29"/>
    </row>
    <row r="855" spans="1:8" s="22" customFormat="1" ht="15.9" customHeight="1">
      <c r="A855" s="27">
        <v>851</v>
      </c>
      <c r="B855" s="3" t="s">
        <v>1716</v>
      </c>
      <c r="C855" s="28" t="s">
        <v>371</v>
      </c>
      <c r="D855" s="28" t="s">
        <v>2637</v>
      </c>
      <c r="E855" s="3" t="s">
        <v>3553</v>
      </c>
      <c r="F855" s="27">
        <v>1</v>
      </c>
      <c r="G855" s="28" t="s">
        <v>371</v>
      </c>
      <c r="H855" s="29"/>
    </row>
    <row r="856" spans="1:8" s="22" customFormat="1" ht="15.9" customHeight="1">
      <c r="A856" s="27">
        <v>852</v>
      </c>
      <c r="B856" s="3" t="s">
        <v>1717</v>
      </c>
      <c r="C856" s="28" t="s">
        <v>371</v>
      </c>
      <c r="D856" s="28" t="s">
        <v>2638</v>
      </c>
      <c r="E856" s="3" t="s">
        <v>3554</v>
      </c>
      <c r="F856" s="27">
        <v>1</v>
      </c>
      <c r="G856" s="28" t="s">
        <v>371</v>
      </c>
      <c r="H856" s="29"/>
    </row>
    <row r="857" spans="1:8" s="22" customFormat="1" ht="15.9" customHeight="1">
      <c r="A857" s="27">
        <v>853</v>
      </c>
      <c r="B857" s="3" t="s">
        <v>1718</v>
      </c>
      <c r="C857" s="28" t="s">
        <v>371</v>
      </c>
      <c r="D857" s="28" t="s">
        <v>2639</v>
      </c>
      <c r="E857" s="3" t="s">
        <v>3555</v>
      </c>
      <c r="F857" s="27">
        <v>1</v>
      </c>
      <c r="G857" s="28" t="s">
        <v>371</v>
      </c>
      <c r="H857" s="29"/>
    </row>
    <row r="858" spans="1:8" s="22" customFormat="1" ht="15.9" customHeight="1">
      <c r="A858" s="27">
        <v>854</v>
      </c>
      <c r="B858" s="3" t="s">
        <v>1719</v>
      </c>
      <c r="C858" s="28" t="s">
        <v>371</v>
      </c>
      <c r="D858" s="28" t="s">
        <v>2640</v>
      </c>
      <c r="E858" s="3" t="s">
        <v>3556</v>
      </c>
      <c r="F858" s="27">
        <v>1</v>
      </c>
      <c r="G858" s="28" t="s">
        <v>371</v>
      </c>
      <c r="H858" s="29"/>
    </row>
    <row r="859" spans="1:8" s="22" customFormat="1" ht="15.9" customHeight="1">
      <c r="A859" s="27">
        <v>855</v>
      </c>
      <c r="B859" s="3" t="s">
        <v>1720</v>
      </c>
      <c r="C859" s="28" t="s">
        <v>371</v>
      </c>
      <c r="D859" s="28" t="s">
        <v>2641</v>
      </c>
      <c r="E859" s="3" t="s">
        <v>3557</v>
      </c>
      <c r="F859" s="27">
        <v>1</v>
      </c>
      <c r="G859" s="28" t="s">
        <v>371</v>
      </c>
      <c r="H859" s="29"/>
    </row>
    <row r="860" spans="1:8" s="22" customFormat="1" ht="15.9" customHeight="1">
      <c r="A860" s="27">
        <v>856</v>
      </c>
      <c r="B860" s="3" t="s">
        <v>1721</v>
      </c>
      <c r="C860" s="28" t="s">
        <v>371</v>
      </c>
      <c r="D860" s="28" t="s">
        <v>2642</v>
      </c>
      <c r="E860" s="3" t="s">
        <v>3558</v>
      </c>
      <c r="F860" s="27">
        <v>1</v>
      </c>
      <c r="G860" s="28" t="s">
        <v>371</v>
      </c>
      <c r="H860" s="29"/>
    </row>
    <row r="861" spans="1:8" s="22" customFormat="1" ht="15.9" customHeight="1">
      <c r="A861" s="27">
        <v>857</v>
      </c>
      <c r="B861" s="3" t="s">
        <v>1722</v>
      </c>
      <c r="C861" s="28" t="s">
        <v>371</v>
      </c>
      <c r="D861" s="28" t="s">
        <v>2643</v>
      </c>
      <c r="E861" s="3" t="s">
        <v>3559</v>
      </c>
      <c r="F861" s="27">
        <v>1</v>
      </c>
      <c r="G861" s="28" t="s">
        <v>371</v>
      </c>
      <c r="H861" s="29"/>
    </row>
    <row r="862" spans="1:8" s="22" customFormat="1" ht="15.9" customHeight="1">
      <c r="A862" s="27">
        <v>858</v>
      </c>
      <c r="B862" s="3" t="s">
        <v>1723</v>
      </c>
      <c r="C862" s="28" t="s">
        <v>371</v>
      </c>
      <c r="D862" s="28" t="s">
        <v>2644</v>
      </c>
      <c r="E862" s="3" t="s">
        <v>3560</v>
      </c>
      <c r="F862" s="27">
        <v>1</v>
      </c>
      <c r="G862" s="28" t="s">
        <v>371</v>
      </c>
      <c r="H862" s="29"/>
    </row>
    <row r="863" spans="1:8" s="22" customFormat="1" ht="15.9" customHeight="1">
      <c r="A863" s="27">
        <v>859</v>
      </c>
      <c r="B863" s="3" t="s">
        <v>1724</v>
      </c>
      <c r="C863" s="28" t="s">
        <v>371</v>
      </c>
      <c r="D863" s="28" t="s">
        <v>2645</v>
      </c>
      <c r="E863" s="3" t="s">
        <v>3561</v>
      </c>
      <c r="F863" s="27">
        <v>1</v>
      </c>
      <c r="G863" s="28" t="s">
        <v>371</v>
      </c>
      <c r="H863" s="29"/>
    </row>
    <row r="864" spans="1:8" s="22" customFormat="1" ht="15.9" customHeight="1">
      <c r="A864" s="27">
        <v>860</v>
      </c>
      <c r="B864" s="3" t="s">
        <v>1725</v>
      </c>
      <c r="C864" s="28" t="s">
        <v>371</v>
      </c>
      <c r="D864" s="28" t="s">
        <v>2646</v>
      </c>
      <c r="E864" s="3" t="s">
        <v>3562</v>
      </c>
      <c r="F864" s="27">
        <v>1</v>
      </c>
      <c r="G864" s="28" t="s">
        <v>371</v>
      </c>
      <c r="H864" s="29"/>
    </row>
    <row r="865" spans="1:8" s="22" customFormat="1" ht="15.9" customHeight="1">
      <c r="A865" s="27">
        <v>861</v>
      </c>
      <c r="B865" s="3" t="s">
        <v>1726</v>
      </c>
      <c r="C865" s="28" t="s">
        <v>371</v>
      </c>
      <c r="D865" s="28" t="s">
        <v>2647</v>
      </c>
      <c r="E865" s="3" t="s">
        <v>3563</v>
      </c>
      <c r="F865" s="27">
        <v>1</v>
      </c>
      <c r="G865" s="28" t="s">
        <v>371</v>
      </c>
      <c r="H865" s="29"/>
    </row>
    <row r="866" spans="1:8" s="22" customFormat="1" ht="15.9" customHeight="1">
      <c r="A866" s="27">
        <v>862</v>
      </c>
      <c r="B866" s="3" t="s">
        <v>1727</v>
      </c>
      <c r="C866" s="28" t="s">
        <v>371</v>
      </c>
      <c r="D866" s="28" t="s">
        <v>2648</v>
      </c>
      <c r="E866" s="3" t="s">
        <v>3564</v>
      </c>
      <c r="F866" s="27">
        <v>1</v>
      </c>
      <c r="G866" s="28" t="s">
        <v>371</v>
      </c>
      <c r="H866" s="29"/>
    </row>
    <row r="867" spans="1:8" s="22" customFormat="1" ht="15.9" customHeight="1">
      <c r="A867" s="27">
        <v>863</v>
      </c>
      <c r="B867" s="3" t="s">
        <v>1728</v>
      </c>
      <c r="C867" s="28" t="s">
        <v>371</v>
      </c>
      <c r="D867" s="28" t="s">
        <v>2649</v>
      </c>
      <c r="E867" s="3" t="s">
        <v>3565</v>
      </c>
      <c r="F867" s="27">
        <v>1</v>
      </c>
      <c r="G867" s="28" t="s">
        <v>371</v>
      </c>
      <c r="H867" s="29"/>
    </row>
    <row r="868" spans="1:8" s="22" customFormat="1" ht="15.9" customHeight="1">
      <c r="A868" s="27">
        <v>864</v>
      </c>
      <c r="B868" s="3" t="s">
        <v>1729</v>
      </c>
      <c r="C868" s="28" t="s">
        <v>371</v>
      </c>
      <c r="D868" s="28" t="s">
        <v>2650</v>
      </c>
      <c r="E868" s="3" t="s">
        <v>3566</v>
      </c>
      <c r="F868" s="27">
        <v>1</v>
      </c>
      <c r="G868" s="28" t="s">
        <v>371</v>
      </c>
      <c r="H868" s="29"/>
    </row>
    <row r="869" spans="1:8" s="22" customFormat="1" ht="15.9" customHeight="1">
      <c r="A869" s="27">
        <v>865</v>
      </c>
      <c r="B869" s="3" t="s">
        <v>1730</v>
      </c>
      <c r="C869" s="28" t="s">
        <v>371</v>
      </c>
      <c r="D869" s="28" t="s">
        <v>2651</v>
      </c>
      <c r="E869" s="3" t="s">
        <v>3567</v>
      </c>
      <c r="F869" s="27">
        <v>1</v>
      </c>
      <c r="G869" s="28" t="s">
        <v>371</v>
      </c>
      <c r="H869" s="29"/>
    </row>
    <row r="870" spans="1:8" s="22" customFormat="1" ht="15.9" customHeight="1">
      <c r="A870" s="27">
        <v>866</v>
      </c>
      <c r="B870" s="3" t="s">
        <v>1731</v>
      </c>
      <c r="C870" s="28" t="s">
        <v>371</v>
      </c>
      <c r="D870" s="28" t="s">
        <v>2652</v>
      </c>
      <c r="E870" s="3" t="s">
        <v>3568</v>
      </c>
      <c r="F870" s="27">
        <v>1</v>
      </c>
      <c r="G870" s="28" t="s">
        <v>371</v>
      </c>
      <c r="H870" s="29"/>
    </row>
    <row r="871" spans="1:8" s="22" customFormat="1" ht="15.9" customHeight="1">
      <c r="A871" s="27">
        <v>867</v>
      </c>
      <c r="B871" s="3" t="s">
        <v>1732</v>
      </c>
      <c r="C871" s="28" t="s">
        <v>371</v>
      </c>
      <c r="D871" s="28" t="s">
        <v>2653</v>
      </c>
      <c r="E871" s="3" t="s">
        <v>3569</v>
      </c>
      <c r="F871" s="27">
        <v>1</v>
      </c>
      <c r="G871" s="28" t="s">
        <v>371</v>
      </c>
      <c r="H871" s="29"/>
    </row>
    <row r="872" spans="1:8" s="22" customFormat="1" ht="15.9" customHeight="1">
      <c r="A872" s="27">
        <v>868</v>
      </c>
      <c r="B872" s="3" t="s">
        <v>1733</v>
      </c>
      <c r="C872" s="28" t="s">
        <v>371</v>
      </c>
      <c r="D872" s="28" t="s">
        <v>2654</v>
      </c>
      <c r="E872" s="3" t="s">
        <v>3570</v>
      </c>
      <c r="F872" s="27">
        <v>1</v>
      </c>
      <c r="G872" s="28" t="s">
        <v>371</v>
      </c>
      <c r="H872" s="29"/>
    </row>
    <row r="873" spans="1:8" s="22" customFormat="1" ht="15.9" customHeight="1">
      <c r="A873" s="27">
        <v>869</v>
      </c>
      <c r="B873" s="3" t="s">
        <v>1734</v>
      </c>
      <c r="C873" s="28" t="s">
        <v>371</v>
      </c>
      <c r="D873" s="28" t="s">
        <v>2655</v>
      </c>
      <c r="E873" s="3" t="s">
        <v>3571</v>
      </c>
      <c r="F873" s="27">
        <v>1</v>
      </c>
      <c r="G873" s="28" t="s">
        <v>371</v>
      </c>
      <c r="H873" s="29"/>
    </row>
    <row r="874" spans="1:8" s="22" customFormat="1" ht="15.9" customHeight="1">
      <c r="A874" s="27">
        <v>870</v>
      </c>
      <c r="B874" s="3" t="s">
        <v>1735</v>
      </c>
      <c r="C874" s="28" t="s">
        <v>371</v>
      </c>
      <c r="D874" s="28" t="s">
        <v>2656</v>
      </c>
      <c r="E874" s="3" t="s">
        <v>3572</v>
      </c>
      <c r="F874" s="27">
        <v>1</v>
      </c>
      <c r="G874" s="28" t="s">
        <v>371</v>
      </c>
      <c r="H874" s="29"/>
    </row>
    <row r="875" spans="1:8" s="22" customFormat="1" ht="15.9" customHeight="1">
      <c r="A875" s="27">
        <v>871</v>
      </c>
      <c r="B875" s="3" t="s">
        <v>1736</v>
      </c>
      <c r="C875" s="28" t="s">
        <v>371</v>
      </c>
      <c r="D875" s="28" t="s">
        <v>2657</v>
      </c>
      <c r="E875" s="3" t="s">
        <v>3573</v>
      </c>
      <c r="F875" s="27">
        <v>1</v>
      </c>
      <c r="G875" s="28" t="s">
        <v>371</v>
      </c>
      <c r="H875" s="29"/>
    </row>
    <row r="876" spans="1:8" s="22" customFormat="1" ht="15.9" customHeight="1">
      <c r="A876" s="27">
        <v>872</v>
      </c>
      <c r="B876" s="3" t="s">
        <v>1737</v>
      </c>
      <c r="C876" s="28" t="s">
        <v>371</v>
      </c>
      <c r="D876" s="28" t="s">
        <v>2658</v>
      </c>
      <c r="E876" s="3" t="s">
        <v>3574</v>
      </c>
      <c r="F876" s="27">
        <v>1</v>
      </c>
      <c r="G876" s="28" t="s">
        <v>371</v>
      </c>
      <c r="H876" s="29"/>
    </row>
    <row r="877" spans="1:8" s="22" customFormat="1" ht="15.9" customHeight="1">
      <c r="A877" s="27">
        <v>873</v>
      </c>
      <c r="B877" s="3" t="s">
        <v>1738</v>
      </c>
      <c r="C877" s="28" t="s">
        <v>371</v>
      </c>
      <c r="D877" s="28" t="s">
        <v>2659</v>
      </c>
      <c r="E877" s="3" t="s">
        <v>3575</v>
      </c>
      <c r="F877" s="27">
        <v>1</v>
      </c>
      <c r="G877" s="28" t="s">
        <v>371</v>
      </c>
      <c r="H877" s="29"/>
    </row>
    <row r="878" spans="1:8" s="22" customFormat="1" ht="15.9" customHeight="1">
      <c r="A878" s="27">
        <v>874</v>
      </c>
      <c r="B878" s="3" t="s">
        <v>1739</v>
      </c>
      <c r="C878" s="28" t="s">
        <v>371</v>
      </c>
      <c r="D878" s="28" t="s">
        <v>2660</v>
      </c>
      <c r="E878" s="3" t="s">
        <v>3576</v>
      </c>
      <c r="F878" s="27">
        <v>1</v>
      </c>
      <c r="G878" s="28" t="s">
        <v>371</v>
      </c>
      <c r="H878" s="29"/>
    </row>
    <row r="879" spans="1:8" s="22" customFormat="1" ht="15.9" customHeight="1">
      <c r="A879" s="27">
        <v>875</v>
      </c>
      <c r="B879" s="3" t="s">
        <v>1740</v>
      </c>
      <c r="C879" s="28" t="s">
        <v>371</v>
      </c>
      <c r="D879" s="28" t="s">
        <v>2661</v>
      </c>
      <c r="E879" s="3" t="s">
        <v>3577</v>
      </c>
      <c r="F879" s="27">
        <v>1</v>
      </c>
      <c r="G879" s="28" t="s">
        <v>371</v>
      </c>
      <c r="H879" s="29"/>
    </row>
    <row r="880" spans="1:8" s="22" customFormat="1" ht="15.9" customHeight="1">
      <c r="A880" s="27">
        <v>876</v>
      </c>
      <c r="B880" s="3" t="s">
        <v>1741</v>
      </c>
      <c r="C880" s="28" t="s">
        <v>2662</v>
      </c>
      <c r="D880" s="28" t="s">
        <v>2663</v>
      </c>
      <c r="E880" s="3" t="s">
        <v>3578</v>
      </c>
      <c r="F880" s="27">
        <v>1</v>
      </c>
      <c r="G880" s="28" t="s">
        <v>371</v>
      </c>
      <c r="H880" s="29"/>
    </row>
    <row r="881" spans="1:8" s="22" customFormat="1" ht="15.9" customHeight="1">
      <c r="A881" s="27">
        <v>877</v>
      </c>
      <c r="B881" s="3" t="s">
        <v>1742</v>
      </c>
      <c r="C881" s="28" t="s">
        <v>371</v>
      </c>
      <c r="D881" s="28" t="s">
        <v>2664</v>
      </c>
      <c r="E881" s="3" t="s">
        <v>3579</v>
      </c>
      <c r="F881" s="27">
        <v>1</v>
      </c>
      <c r="G881" s="28" t="s">
        <v>371</v>
      </c>
      <c r="H881" s="29"/>
    </row>
    <row r="882" spans="1:8" s="22" customFormat="1" ht="15.9" customHeight="1">
      <c r="A882" s="27">
        <v>878</v>
      </c>
      <c r="B882" s="3" t="s">
        <v>1743</v>
      </c>
      <c r="C882" s="28" t="s">
        <v>371</v>
      </c>
      <c r="D882" s="28" t="s">
        <v>2665</v>
      </c>
      <c r="E882" s="3" t="s">
        <v>3580</v>
      </c>
      <c r="F882" s="27">
        <v>1</v>
      </c>
      <c r="G882" s="28" t="s">
        <v>371</v>
      </c>
      <c r="H882" s="29"/>
    </row>
    <row r="883" spans="1:8" s="22" customFormat="1" ht="15.9" customHeight="1">
      <c r="A883" s="27">
        <v>879</v>
      </c>
      <c r="B883" s="3" t="s">
        <v>1744</v>
      </c>
      <c r="C883" s="28" t="s">
        <v>371</v>
      </c>
      <c r="D883" s="28" t="s">
        <v>2666</v>
      </c>
      <c r="E883" s="3" t="s">
        <v>3581</v>
      </c>
      <c r="F883" s="27">
        <v>1</v>
      </c>
      <c r="G883" s="28" t="s">
        <v>371</v>
      </c>
      <c r="H883" s="29"/>
    </row>
    <row r="884" spans="1:8" s="22" customFormat="1" ht="15.9" customHeight="1">
      <c r="A884" s="27">
        <v>880</v>
      </c>
      <c r="B884" s="3" t="s">
        <v>1745</v>
      </c>
      <c r="C884" s="28" t="s">
        <v>371</v>
      </c>
      <c r="D884" s="28" t="s">
        <v>2667</v>
      </c>
      <c r="E884" s="3" t="s">
        <v>3582</v>
      </c>
      <c r="F884" s="27">
        <v>1</v>
      </c>
      <c r="G884" s="28" t="s">
        <v>371</v>
      </c>
      <c r="H884" s="29"/>
    </row>
    <row r="885" spans="1:8" s="22" customFormat="1" ht="15.9" customHeight="1">
      <c r="A885" s="27">
        <v>881</v>
      </c>
      <c r="B885" s="3" t="s">
        <v>1746</v>
      </c>
      <c r="C885" s="28" t="s">
        <v>371</v>
      </c>
      <c r="D885" s="28" t="s">
        <v>2668</v>
      </c>
      <c r="E885" s="3" t="s">
        <v>3583</v>
      </c>
      <c r="F885" s="27">
        <v>1</v>
      </c>
      <c r="G885" s="28" t="s">
        <v>371</v>
      </c>
      <c r="H885" s="29"/>
    </row>
    <row r="886" spans="1:8" s="22" customFormat="1" ht="15.9" customHeight="1">
      <c r="A886" s="27">
        <v>882</v>
      </c>
      <c r="B886" s="3" t="s">
        <v>1747</v>
      </c>
      <c r="C886" s="28" t="s">
        <v>371</v>
      </c>
      <c r="D886" s="28" t="s">
        <v>2669</v>
      </c>
      <c r="E886" s="3" t="s">
        <v>3584</v>
      </c>
      <c r="F886" s="27">
        <v>1</v>
      </c>
      <c r="G886" s="28" t="s">
        <v>371</v>
      </c>
      <c r="H886" s="29"/>
    </row>
    <row r="887" spans="1:8" s="22" customFormat="1" ht="15.9" customHeight="1">
      <c r="A887" s="27">
        <v>883</v>
      </c>
      <c r="B887" s="3" t="s">
        <v>1748</v>
      </c>
      <c r="C887" s="28" t="s">
        <v>371</v>
      </c>
      <c r="D887" s="28" t="s">
        <v>2670</v>
      </c>
      <c r="E887" s="3" t="s">
        <v>3585</v>
      </c>
      <c r="F887" s="27">
        <v>1</v>
      </c>
      <c r="G887" s="28" t="s">
        <v>371</v>
      </c>
      <c r="H887" s="29"/>
    </row>
    <row r="888" spans="1:8" s="22" customFormat="1" ht="15.9" customHeight="1">
      <c r="A888" s="27">
        <v>884</v>
      </c>
      <c r="B888" s="3" t="s">
        <v>1749</v>
      </c>
      <c r="C888" s="28" t="s">
        <v>371</v>
      </c>
      <c r="D888" s="28" t="s">
        <v>2671</v>
      </c>
      <c r="E888" s="3" t="s">
        <v>3586</v>
      </c>
      <c r="F888" s="27">
        <v>1</v>
      </c>
      <c r="G888" s="28" t="s">
        <v>371</v>
      </c>
      <c r="H888" s="29"/>
    </row>
    <row r="889" spans="1:8" s="22" customFormat="1" ht="15.9" customHeight="1">
      <c r="A889" s="27">
        <v>885</v>
      </c>
      <c r="B889" s="3" t="s">
        <v>1750</v>
      </c>
      <c r="C889" s="28" t="s">
        <v>371</v>
      </c>
      <c r="D889" s="28" t="s">
        <v>2672</v>
      </c>
      <c r="E889" s="3" t="s">
        <v>3587</v>
      </c>
      <c r="F889" s="27">
        <v>1</v>
      </c>
      <c r="G889" s="28" t="s">
        <v>371</v>
      </c>
      <c r="H889" s="29"/>
    </row>
    <row r="890" spans="1:8" s="22" customFormat="1" ht="15.9" customHeight="1">
      <c r="A890" s="27">
        <v>886</v>
      </c>
      <c r="B890" s="3" t="s">
        <v>1751</v>
      </c>
      <c r="C890" s="28" t="s">
        <v>371</v>
      </c>
      <c r="D890" s="28" t="s">
        <v>2673</v>
      </c>
      <c r="E890" s="3" t="s">
        <v>3588</v>
      </c>
      <c r="F890" s="27">
        <v>1</v>
      </c>
      <c r="G890" s="28" t="s">
        <v>371</v>
      </c>
      <c r="H890" s="29"/>
    </row>
    <row r="891" spans="1:8" s="22" customFormat="1" ht="15.9" customHeight="1">
      <c r="A891" s="27">
        <v>887</v>
      </c>
      <c r="B891" s="3" t="s">
        <v>1752</v>
      </c>
      <c r="C891" s="28" t="s">
        <v>371</v>
      </c>
      <c r="D891" s="28" t="s">
        <v>2674</v>
      </c>
      <c r="E891" s="3" t="s">
        <v>3589</v>
      </c>
      <c r="F891" s="27">
        <v>1</v>
      </c>
      <c r="G891" s="28" t="s">
        <v>371</v>
      </c>
      <c r="H891" s="29"/>
    </row>
    <row r="892" spans="1:8" s="22" customFormat="1" ht="15.9" customHeight="1">
      <c r="A892" s="27">
        <v>888</v>
      </c>
      <c r="B892" s="3" t="s">
        <v>1753</v>
      </c>
      <c r="C892" s="28" t="s">
        <v>371</v>
      </c>
      <c r="D892" s="28" t="s">
        <v>2675</v>
      </c>
      <c r="E892" s="3" t="s">
        <v>3590</v>
      </c>
      <c r="F892" s="27">
        <v>1</v>
      </c>
      <c r="G892" s="28" t="s">
        <v>371</v>
      </c>
      <c r="H892" s="29"/>
    </row>
    <row r="893" spans="1:8" s="22" customFormat="1" ht="15.9" customHeight="1">
      <c r="A893" s="27">
        <v>889</v>
      </c>
      <c r="B893" s="3" t="s">
        <v>1754</v>
      </c>
      <c r="C893" s="28" t="s">
        <v>371</v>
      </c>
      <c r="D893" s="28" t="s">
        <v>2676</v>
      </c>
      <c r="E893" s="3" t="s">
        <v>3591</v>
      </c>
      <c r="F893" s="27">
        <v>1</v>
      </c>
      <c r="G893" s="28" t="s">
        <v>371</v>
      </c>
      <c r="H893" s="29"/>
    </row>
    <row r="894" spans="1:8" s="22" customFormat="1" ht="15.9" customHeight="1">
      <c r="A894" s="27">
        <v>890</v>
      </c>
      <c r="B894" s="3" t="s">
        <v>1755</v>
      </c>
      <c r="C894" s="28" t="s">
        <v>371</v>
      </c>
      <c r="D894" s="28" t="s">
        <v>2677</v>
      </c>
      <c r="E894" s="3" t="s">
        <v>3592</v>
      </c>
      <c r="F894" s="27">
        <v>1</v>
      </c>
      <c r="G894" s="28" t="s">
        <v>371</v>
      </c>
      <c r="H894" s="29"/>
    </row>
    <row r="895" spans="1:8" s="22" customFormat="1" ht="15.9" customHeight="1">
      <c r="A895" s="27">
        <v>891</v>
      </c>
      <c r="B895" s="3" t="s">
        <v>1756</v>
      </c>
      <c r="C895" s="28" t="s">
        <v>371</v>
      </c>
      <c r="D895" s="28" t="s">
        <v>2678</v>
      </c>
      <c r="E895" s="3" t="s">
        <v>3593</v>
      </c>
      <c r="F895" s="27">
        <v>1</v>
      </c>
      <c r="G895" s="28" t="s">
        <v>371</v>
      </c>
      <c r="H895" s="29"/>
    </row>
    <row r="896" spans="1:8" s="22" customFormat="1" ht="15.9" customHeight="1">
      <c r="A896" s="27">
        <v>892</v>
      </c>
      <c r="B896" s="3" t="s">
        <v>1757</v>
      </c>
      <c r="C896" s="28" t="s">
        <v>371</v>
      </c>
      <c r="D896" s="28" t="s">
        <v>2679</v>
      </c>
      <c r="E896" s="3" t="s">
        <v>3594</v>
      </c>
      <c r="F896" s="27">
        <v>1</v>
      </c>
      <c r="G896" s="28" t="s">
        <v>371</v>
      </c>
      <c r="H896" s="29"/>
    </row>
    <row r="897" spans="1:8" s="22" customFormat="1" ht="15.9" customHeight="1">
      <c r="A897" s="27">
        <v>893</v>
      </c>
      <c r="B897" s="3" t="s">
        <v>1758</v>
      </c>
      <c r="C897" s="28" t="s">
        <v>371</v>
      </c>
      <c r="D897" s="28" t="s">
        <v>2680</v>
      </c>
      <c r="E897" s="3" t="s">
        <v>3595</v>
      </c>
      <c r="F897" s="27">
        <v>1</v>
      </c>
      <c r="G897" s="28" t="s">
        <v>371</v>
      </c>
      <c r="H897" s="29"/>
    </row>
    <row r="898" spans="1:8" s="22" customFormat="1" ht="15.9" customHeight="1">
      <c r="A898" s="27">
        <v>894</v>
      </c>
      <c r="B898" s="3" t="s">
        <v>1759</v>
      </c>
      <c r="C898" s="28" t="s">
        <v>371</v>
      </c>
      <c r="D898" s="28" t="s">
        <v>2681</v>
      </c>
      <c r="E898" s="3" t="s">
        <v>3596</v>
      </c>
      <c r="F898" s="27">
        <v>1</v>
      </c>
      <c r="G898" s="28" t="s">
        <v>371</v>
      </c>
      <c r="H898" s="29"/>
    </row>
    <row r="899" spans="1:8" s="22" customFormat="1" ht="15.9" customHeight="1">
      <c r="A899" s="27">
        <v>895</v>
      </c>
      <c r="B899" s="3" t="s">
        <v>1760</v>
      </c>
      <c r="C899" s="28" t="s">
        <v>371</v>
      </c>
      <c r="D899" s="28" t="s">
        <v>2682</v>
      </c>
      <c r="E899" s="3" t="s">
        <v>3597</v>
      </c>
      <c r="F899" s="27">
        <v>1</v>
      </c>
      <c r="G899" s="28" t="s">
        <v>371</v>
      </c>
      <c r="H899" s="29"/>
    </row>
    <row r="900" spans="1:8" s="22" customFormat="1" ht="15.9" customHeight="1">
      <c r="A900" s="27">
        <v>896</v>
      </c>
      <c r="B900" s="3" t="s">
        <v>4706</v>
      </c>
      <c r="C900" s="28" t="s">
        <v>4646</v>
      </c>
      <c r="D900" s="28" t="s">
        <v>4707</v>
      </c>
      <c r="E900" s="3" t="s">
        <v>4708</v>
      </c>
      <c r="F900" s="27">
        <v>1</v>
      </c>
      <c r="G900" s="28" t="s">
        <v>4335</v>
      </c>
      <c r="H900" s="29"/>
    </row>
    <row r="901" spans="1:8" s="22" customFormat="1" ht="15.9" customHeight="1">
      <c r="A901" s="27">
        <v>897</v>
      </c>
      <c r="B901" s="3" t="s">
        <v>1761</v>
      </c>
      <c r="C901" s="28" t="s">
        <v>371</v>
      </c>
      <c r="D901" s="28" t="s">
        <v>2683</v>
      </c>
      <c r="E901" s="3" t="s">
        <v>3598</v>
      </c>
      <c r="F901" s="27">
        <v>1</v>
      </c>
      <c r="G901" s="28" t="s">
        <v>371</v>
      </c>
      <c r="H901" s="29"/>
    </row>
    <row r="902" spans="1:8" s="22" customFormat="1" ht="15.9" customHeight="1">
      <c r="A902" s="27">
        <v>898</v>
      </c>
      <c r="B902" s="3" t="s">
        <v>1762</v>
      </c>
      <c r="C902" s="28" t="s">
        <v>371</v>
      </c>
      <c r="D902" s="28" t="s">
        <v>2684</v>
      </c>
      <c r="E902" s="3" t="s">
        <v>3599</v>
      </c>
      <c r="F902" s="27">
        <v>1</v>
      </c>
      <c r="G902" s="28" t="s">
        <v>371</v>
      </c>
      <c r="H902" s="29"/>
    </row>
    <row r="903" spans="1:8" s="22" customFormat="1" ht="15.9" customHeight="1">
      <c r="A903" s="27">
        <v>899</v>
      </c>
      <c r="B903" s="3" t="s">
        <v>1763</v>
      </c>
      <c r="C903" s="28" t="s">
        <v>371</v>
      </c>
      <c r="D903" s="28" t="s">
        <v>2685</v>
      </c>
      <c r="E903" s="3" t="s">
        <v>3600</v>
      </c>
      <c r="F903" s="27">
        <v>1</v>
      </c>
      <c r="G903" s="28" t="s">
        <v>371</v>
      </c>
      <c r="H903" s="29"/>
    </row>
    <row r="904" spans="1:8" s="22" customFormat="1" ht="15.9" customHeight="1">
      <c r="A904" s="27">
        <v>900</v>
      </c>
      <c r="B904" s="3" t="s">
        <v>1764</v>
      </c>
      <c r="C904" s="28" t="s">
        <v>371</v>
      </c>
      <c r="D904" s="28" t="s">
        <v>2686</v>
      </c>
      <c r="E904" s="3" t="s">
        <v>3601</v>
      </c>
      <c r="F904" s="27">
        <v>1</v>
      </c>
      <c r="G904" s="28" t="s">
        <v>371</v>
      </c>
      <c r="H904" s="29"/>
    </row>
    <row r="905" spans="1:8" s="22" customFormat="1" ht="15.9" customHeight="1">
      <c r="A905" s="27">
        <v>901</v>
      </c>
      <c r="B905" s="3" t="s">
        <v>1765</v>
      </c>
      <c r="C905" s="28" t="s">
        <v>371</v>
      </c>
      <c r="D905" s="28" t="s">
        <v>2687</v>
      </c>
      <c r="E905" s="3" t="s">
        <v>3602</v>
      </c>
      <c r="F905" s="27">
        <v>1</v>
      </c>
      <c r="G905" s="28" t="s">
        <v>371</v>
      </c>
      <c r="H905" s="29"/>
    </row>
    <row r="906" spans="1:8" s="22" customFormat="1" ht="15.9" customHeight="1">
      <c r="A906" s="27">
        <v>902</v>
      </c>
      <c r="B906" s="3" t="s">
        <v>1766</v>
      </c>
      <c r="C906" s="28" t="s">
        <v>371</v>
      </c>
      <c r="D906" s="28" t="s">
        <v>2688</v>
      </c>
      <c r="E906" s="3" t="s">
        <v>3603</v>
      </c>
      <c r="F906" s="27">
        <v>1</v>
      </c>
      <c r="G906" s="28" t="s">
        <v>371</v>
      </c>
      <c r="H906" s="29"/>
    </row>
    <row r="907" spans="1:8" s="22" customFormat="1" ht="15.9" customHeight="1">
      <c r="A907" s="27">
        <v>903</v>
      </c>
      <c r="B907" s="3" t="s">
        <v>4709</v>
      </c>
      <c r="C907" s="28" t="s">
        <v>4949</v>
      </c>
      <c r="D907" s="28" t="s">
        <v>4710</v>
      </c>
      <c r="E907" s="3" t="s">
        <v>4711</v>
      </c>
      <c r="F907" s="27">
        <v>1</v>
      </c>
      <c r="G907" s="28" t="s">
        <v>4335</v>
      </c>
      <c r="H907" s="29"/>
    </row>
    <row r="908" spans="1:8" s="22" customFormat="1" ht="15.9" customHeight="1">
      <c r="A908" s="27">
        <v>904</v>
      </c>
      <c r="B908" s="3" t="s">
        <v>1767</v>
      </c>
      <c r="C908" s="28" t="s">
        <v>371</v>
      </c>
      <c r="D908" s="28" t="s">
        <v>2689</v>
      </c>
      <c r="E908" s="3" t="s">
        <v>3604</v>
      </c>
      <c r="F908" s="27">
        <v>1</v>
      </c>
      <c r="G908" s="28" t="s">
        <v>371</v>
      </c>
      <c r="H908" s="29"/>
    </row>
    <row r="909" spans="1:8" s="22" customFormat="1" ht="15.9" customHeight="1">
      <c r="A909" s="27">
        <v>905</v>
      </c>
      <c r="B909" s="3" t="s">
        <v>1768</v>
      </c>
      <c r="C909" s="28" t="s">
        <v>371</v>
      </c>
      <c r="D909" s="28" t="s">
        <v>2690</v>
      </c>
      <c r="E909" s="3" t="s">
        <v>3605</v>
      </c>
      <c r="F909" s="27">
        <v>1</v>
      </c>
      <c r="G909" s="28" t="s">
        <v>371</v>
      </c>
      <c r="H909" s="29"/>
    </row>
    <row r="910" spans="1:8" s="22" customFormat="1" ht="15.9" customHeight="1">
      <c r="A910" s="27">
        <v>906</v>
      </c>
      <c r="B910" s="3" t="s">
        <v>1769</v>
      </c>
      <c r="C910" s="28" t="s">
        <v>371</v>
      </c>
      <c r="D910" s="28" t="s">
        <v>2691</v>
      </c>
      <c r="E910" s="3" t="s">
        <v>3606</v>
      </c>
      <c r="F910" s="27">
        <v>1</v>
      </c>
      <c r="G910" s="28" t="s">
        <v>371</v>
      </c>
      <c r="H910" s="29"/>
    </row>
    <row r="911" spans="1:8" s="22" customFormat="1" ht="15.9" customHeight="1">
      <c r="A911" s="27">
        <v>907</v>
      </c>
      <c r="B911" s="3" t="s">
        <v>4712</v>
      </c>
      <c r="C911" s="28" t="s">
        <v>4638</v>
      </c>
      <c r="D911" s="28" t="s">
        <v>4713</v>
      </c>
      <c r="E911" s="3" t="s">
        <v>4714</v>
      </c>
      <c r="F911" s="27">
        <v>2</v>
      </c>
      <c r="G911" s="28" t="s">
        <v>4335</v>
      </c>
      <c r="H911" s="29"/>
    </row>
    <row r="912" spans="1:8" s="22" customFormat="1" ht="15.9" customHeight="1">
      <c r="A912" s="27">
        <v>908</v>
      </c>
      <c r="B912" s="3" t="s">
        <v>1770</v>
      </c>
      <c r="C912" s="28" t="s">
        <v>371</v>
      </c>
      <c r="D912" s="28" t="s">
        <v>2692</v>
      </c>
      <c r="E912" s="3" t="s">
        <v>3607</v>
      </c>
      <c r="F912" s="27">
        <v>1</v>
      </c>
      <c r="G912" s="28" t="s">
        <v>371</v>
      </c>
      <c r="H912" s="29"/>
    </row>
    <row r="913" spans="1:8" s="22" customFormat="1" ht="15.9" customHeight="1">
      <c r="A913" s="27">
        <v>909</v>
      </c>
      <c r="B913" s="3" t="s">
        <v>1771</v>
      </c>
      <c r="C913" s="28" t="s">
        <v>371</v>
      </c>
      <c r="D913" s="28" t="s">
        <v>2693</v>
      </c>
      <c r="E913" s="3" t="s">
        <v>3608</v>
      </c>
      <c r="F913" s="27">
        <v>1</v>
      </c>
      <c r="G913" s="28" t="s">
        <v>371</v>
      </c>
      <c r="H913" s="29"/>
    </row>
    <row r="914" spans="1:8" s="22" customFormat="1" ht="15.9" customHeight="1">
      <c r="A914" s="27">
        <v>910</v>
      </c>
      <c r="B914" s="3" t="s">
        <v>1772</v>
      </c>
      <c r="C914" s="28" t="s">
        <v>371</v>
      </c>
      <c r="D914" s="28" t="s">
        <v>2694</v>
      </c>
      <c r="E914" s="3" t="s">
        <v>3609</v>
      </c>
      <c r="F914" s="27">
        <v>1</v>
      </c>
      <c r="G914" s="28" t="s">
        <v>371</v>
      </c>
      <c r="H914" s="29"/>
    </row>
    <row r="915" spans="1:8" s="22" customFormat="1" ht="15.9" customHeight="1">
      <c r="A915" s="27">
        <v>911</v>
      </c>
      <c r="B915" s="3" t="s">
        <v>1773</v>
      </c>
      <c r="C915" s="28" t="s">
        <v>371</v>
      </c>
      <c r="D915" s="28" t="s">
        <v>2695</v>
      </c>
      <c r="E915" s="3" t="s">
        <v>3610</v>
      </c>
      <c r="F915" s="27">
        <v>1</v>
      </c>
      <c r="G915" s="28" t="s">
        <v>371</v>
      </c>
      <c r="H915" s="29"/>
    </row>
    <row r="916" spans="1:8" s="22" customFormat="1" ht="15.9" customHeight="1">
      <c r="A916" s="27">
        <v>912</v>
      </c>
      <c r="B916" s="3" t="s">
        <v>1774</v>
      </c>
      <c r="C916" s="28" t="s">
        <v>371</v>
      </c>
      <c r="D916" s="28" t="s">
        <v>2696</v>
      </c>
      <c r="E916" s="3" t="s">
        <v>3611</v>
      </c>
      <c r="F916" s="27">
        <v>1</v>
      </c>
      <c r="G916" s="28" t="s">
        <v>371</v>
      </c>
      <c r="H916" s="29"/>
    </row>
    <row r="917" spans="1:8" s="22" customFormat="1" ht="15.9" customHeight="1">
      <c r="A917" s="27">
        <v>913</v>
      </c>
      <c r="B917" s="3" t="s">
        <v>1775</v>
      </c>
      <c r="C917" s="28" t="s">
        <v>371</v>
      </c>
      <c r="D917" s="28" t="s">
        <v>2697</v>
      </c>
      <c r="E917" s="3" t="s">
        <v>3612</v>
      </c>
      <c r="F917" s="27">
        <v>1</v>
      </c>
      <c r="G917" s="28" t="s">
        <v>371</v>
      </c>
      <c r="H917" s="29"/>
    </row>
    <row r="918" spans="1:8" s="22" customFormat="1" ht="15.9" customHeight="1">
      <c r="A918" s="27">
        <v>914</v>
      </c>
      <c r="B918" s="3" t="s">
        <v>1776</v>
      </c>
      <c r="C918" s="28" t="s">
        <v>371</v>
      </c>
      <c r="D918" s="28" t="s">
        <v>2698</v>
      </c>
      <c r="E918" s="3" t="s">
        <v>3613</v>
      </c>
      <c r="F918" s="27">
        <v>1</v>
      </c>
      <c r="G918" s="28" t="s">
        <v>371</v>
      </c>
      <c r="H918" s="29"/>
    </row>
    <row r="919" spans="1:8" s="22" customFormat="1" ht="15.9" customHeight="1">
      <c r="A919" s="27">
        <v>915</v>
      </c>
      <c r="B919" s="3" t="s">
        <v>1777</v>
      </c>
      <c r="C919" s="28" t="s">
        <v>371</v>
      </c>
      <c r="D919" s="28" t="s">
        <v>2699</v>
      </c>
      <c r="E919" s="3" t="s">
        <v>3614</v>
      </c>
      <c r="F919" s="27">
        <v>1</v>
      </c>
      <c r="G919" s="28" t="s">
        <v>371</v>
      </c>
      <c r="H919" s="29"/>
    </row>
    <row r="920" spans="1:8" s="22" customFormat="1" ht="15.9" customHeight="1">
      <c r="A920" s="27">
        <v>916</v>
      </c>
      <c r="B920" s="3" t="s">
        <v>1778</v>
      </c>
      <c r="C920" s="28" t="s">
        <v>371</v>
      </c>
      <c r="D920" s="28" t="s">
        <v>2700</v>
      </c>
      <c r="E920" s="3" t="s">
        <v>3615</v>
      </c>
      <c r="F920" s="27">
        <v>1</v>
      </c>
      <c r="G920" s="28" t="s">
        <v>371</v>
      </c>
      <c r="H920" s="29"/>
    </row>
    <row r="921" spans="1:8" s="22" customFormat="1" ht="15.9" customHeight="1">
      <c r="A921" s="27">
        <v>917</v>
      </c>
      <c r="B921" s="3" t="s">
        <v>1779</v>
      </c>
      <c r="C921" s="28" t="s">
        <v>371</v>
      </c>
      <c r="D921" s="28" t="s">
        <v>2701</v>
      </c>
      <c r="E921" s="3" t="s">
        <v>3616</v>
      </c>
      <c r="F921" s="27">
        <v>1</v>
      </c>
      <c r="G921" s="28" t="s">
        <v>371</v>
      </c>
      <c r="H921" s="29"/>
    </row>
    <row r="922" spans="1:8" s="22" customFormat="1" ht="15.9" customHeight="1">
      <c r="A922" s="27">
        <v>918</v>
      </c>
      <c r="B922" s="3" t="s">
        <v>1780</v>
      </c>
      <c r="C922" s="28" t="s">
        <v>371</v>
      </c>
      <c r="D922" s="28" t="s">
        <v>2702</v>
      </c>
      <c r="E922" s="3" t="s">
        <v>3617</v>
      </c>
      <c r="F922" s="27">
        <v>1</v>
      </c>
      <c r="G922" s="28" t="s">
        <v>371</v>
      </c>
      <c r="H922" s="29"/>
    </row>
    <row r="923" spans="1:8" s="22" customFormat="1" ht="15.9" customHeight="1">
      <c r="A923" s="27">
        <v>919</v>
      </c>
      <c r="B923" s="3" t="s">
        <v>1781</v>
      </c>
      <c r="C923" s="28" t="s">
        <v>371</v>
      </c>
      <c r="D923" s="28" t="s">
        <v>2703</v>
      </c>
      <c r="E923" s="3" t="s">
        <v>3618</v>
      </c>
      <c r="F923" s="27">
        <v>1</v>
      </c>
      <c r="G923" s="28" t="s">
        <v>371</v>
      </c>
      <c r="H923" s="29"/>
    </row>
    <row r="924" spans="1:8" s="22" customFormat="1" ht="15.9" customHeight="1">
      <c r="A924" s="27">
        <v>920</v>
      </c>
      <c r="B924" s="3" t="s">
        <v>1782</v>
      </c>
      <c r="C924" s="28" t="s">
        <v>371</v>
      </c>
      <c r="D924" s="28" t="s">
        <v>2704</v>
      </c>
      <c r="E924" s="3" t="s">
        <v>3619</v>
      </c>
      <c r="F924" s="27">
        <v>1</v>
      </c>
      <c r="G924" s="28" t="s">
        <v>371</v>
      </c>
      <c r="H924" s="29"/>
    </row>
    <row r="925" spans="1:8" s="22" customFormat="1" ht="15.9" customHeight="1">
      <c r="A925" s="27">
        <v>921</v>
      </c>
      <c r="B925" s="3" t="s">
        <v>1783</v>
      </c>
      <c r="C925" s="28" t="s">
        <v>371</v>
      </c>
      <c r="D925" s="28" t="s">
        <v>2705</v>
      </c>
      <c r="E925" s="3" t="s">
        <v>3620</v>
      </c>
      <c r="F925" s="27">
        <v>1</v>
      </c>
      <c r="G925" s="28" t="s">
        <v>371</v>
      </c>
      <c r="H925" s="29"/>
    </row>
    <row r="926" spans="1:8" s="22" customFormat="1" ht="15.9" customHeight="1">
      <c r="A926" s="27">
        <v>922</v>
      </c>
      <c r="B926" s="3" t="s">
        <v>1784</v>
      </c>
      <c r="C926" s="28" t="s">
        <v>371</v>
      </c>
      <c r="D926" s="28" t="s">
        <v>2706</v>
      </c>
      <c r="E926" s="3" t="s">
        <v>3621</v>
      </c>
      <c r="F926" s="27">
        <v>1</v>
      </c>
      <c r="G926" s="28" t="s">
        <v>371</v>
      </c>
      <c r="H926" s="29"/>
    </row>
    <row r="927" spans="1:8" s="22" customFormat="1" ht="15.9" customHeight="1">
      <c r="A927" s="27">
        <v>923</v>
      </c>
      <c r="B927" s="3" t="s">
        <v>1785</v>
      </c>
      <c r="C927" s="28" t="s">
        <v>371</v>
      </c>
      <c r="D927" s="28" t="s">
        <v>2707</v>
      </c>
      <c r="E927" s="3" t="s">
        <v>3622</v>
      </c>
      <c r="F927" s="27">
        <v>1</v>
      </c>
      <c r="G927" s="28" t="s">
        <v>371</v>
      </c>
      <c r="H927" s="29"/>
    </row>
    <row r="928" spans="1:8" s="22" customFormat="1" ht="15.9" customHeight="1">
      <c r="A928" s="27">
        <v>924</v>
      </c>
      <c r="B928" s="3" t="s">
        <v>4715</v>
      </c>
      <c r="C928" s="28" t="s">
        <v>2115</v>
      </c>
      <c r="D928" s="28" t="s">
        <v>4716</v>
      </c>
      <c r="E928" s="3" t="s">
        <v>4717</v>
      </c>
      <c r="F928" s="27">
        <v>1</v>
      </c>
      <c r="G928" s="28" t="s">
        <v>4335</v>
      </c>
      <c r="H928" s="29"/>
    </row>
    <row r="929" spans="1:8" s="22" customFormat="1" ht="15.9" customHeight="1">
      <c r="A929" s="27">
        <v>925</v>
      </c>
      <c r="B929" s="3" t="s">
        <v>1786</v>
      </c>
      <c r="C929" s="28" t="s">
        <v>371</v>
      </c>
      <c r="D929" s="28" t="s">
        <v>2708</v>
      </c>
      <c r="E929" s="3" t="s">
        <v>3623</v>
      </c>
      <c r="F929" s="27">
        <v>1</v>
      </c>
      <c r="G929" s="28" t="s">
        <v>371</v>
      </c>
      <c r="H929" s="29"/>
    </row>
    <row r="930" spans="1:8" s="22" customFormat="1" ht="15.9" customHeight="1">
      <c r="A930" s="27">
        <v>926</v>
      </c>
      <c r="B930" s="3" t="s">
        <v>1787</v>
      </c>
      <c r="C930" s="28" t="s">
        <v>371</v>
      </c>
      <c r="D930" s="28" t="s">
        <v>2709</v>
      </c>
      <c r="E930" s="3" t="s">
        <v>3624</v>
      </c>
      <c r="F930" s="27">
        <v>1</v>
      </c>
      <c r="G930" s="28" t="s">
        <v>371</v>
      </c>
      <c r="H930" s="29"/>
    </row>
    <row r="931" spans="1:8" s="22" customFormat="1" ht="15.9" customHeight="1">
      <c r="A931" s="27">
        <v>927</v>
      </c>
      <c r="B931" s="3" t="s">
        <v>1788</v>
      </c>
      <c r="C931" s="28" t="s">
        <v>371</v>
      </c>
      <c r="D931" s="28" t="s">
        <v>2710</v>
      </c>
      <c r="E931" s="3" t="s">
        <v>3625</v>
      </c>
      <c r="F931" s="27">
        <v>1</v>
      </c>
      <c r="G931" s="28" t="s">
        <v>371</v>
      </c>
      <c r="H931" s="29"/>
    </row>
    <row r="932" spans="1:8" s="22" customFormat="1" ht="15.9" customHeight="1">
      <c r="A932" s="27">
        <v>928</v>
      </c>
      <c r="B932" s="3" t="s">
        <v>1789</v>
      </c>
      <c r="C932" s="28" t="s">
        <v>371</v>
      </c>
      <c r="D932" s="28" t="s">
        <v>2711</v>
      </c>
      <c r="E932" s="3" t="s">
        <v>3626</v>
      </c>
      <c r="F932" s="27">
        <v>1</v>
      </c>
      <c r="G932" s="28" t="s">
        <v>371</v>
      </c>
      <c r="H932" s="29"/>
    </row>
    <row r="933" spans="1:8" s="22" customFormat="1" ht="15.9" customHeight="1">
      <c r="A933" s="27">
        <v>929</v>
      </c>
      <c r="B933" s="3" t="s">
        <v>1790</v>
      </c>
      <c r="C933" s="28" t="s">
        <v>371</v>
      </c>
      <c r="D933" s="28" t="s">
        <v>2712</v>
      </c>
      <c r="E933" s="3" t="s">
        <v>3627</v>
      </c>
      <c r="F933" s="27">
        <v>1</v>
      </c>
      <c r="G933" s="28" t="s">
        <v>371</v>
      </c>
      <c r="H933" s="29"/>
    </row>
    <row r="934" spans="1:8" s="22" customFormat="1" ht="15.9" customHeight="1">
      <c r="A934" s="27">
        <v>930</v>
      </c>
      <c r="B934" s="3" t="s">
        <v>1791</v>
      </c>
      <c r="C934" s="28" t="s">
        <v>371</v>
      </c>
      <c r="D934" s="28" t="s">
        <v>2713</v>
      </c>
      <c r="E934" s="3" t="s">
        <v>3628</v>
      </c>
      <c r="F934" s="27">
        <v>1</v>
      </c>
      <c r="G934" s="28" t="s">
        <v>371</v>
      </c>
      <c r="H934" s="29"/>
    </row>
    <row r="935" spans="1:8" s="22" customFormat="1" ht="15.9" customHeight="1">
      <c r="A935" s="27">
        <v>931</v>
      </c>
      <c r="B935" s="3" t="s">
        <v>1792</v>
      </c>
      <c r="C935" s="28" t="s">
        <v>371</v>
      </c>
      <c r="D935" s="28" t="s">
        <v>2714</v>
      </c>
      <c r="E935" s="3" t="s">
        <v>3629</v>
      </c>
      <c r="F935" s="27">
        <v>1</v>
      </c>
      <c r="G935" s="28" t="s">
        <v>371</v>
      </c>
      <c r="H935" s="29"/>
    </row>
    <row r="936" spans="1:8" s="22" customFormat="1" ht="15.9" customHeight="1">
      <c r="A936" s="27">
        <v>932</v>
      </c>
      <c r="B936" s="3" t="s">
        <v>1793</v>
      </c>
      <c r="C936" s="28" t="s">
        <v>371</v>
      </c>
      <c r="D936" s="28" t="s">
        <v>2715</v>
      </c>
      <c r="E936" s="3" t="s">
        <v>3630</v>
      </c>
      <c r="F936" s="27">
        <v>1</v>
      </c>
      <c r="G936" s="28" t="s">
        <v>371</v>
      </c>
      <c r="H936" s="29"/>
    </row>
    <row r="937" spans="1:8" s="22" customFormat="1" ht="15.9" customHeight="1">
      <c r="A937" s="27">
        <v>933</v>
      </c>
      <c r="B937" s="3" t="s">
        <v>1794</v>
      </c>
      <c r="C937" s="28" t="s">
        <v>371</v>
      </c>
      <c r="D937" s="28" t="s">
        <v>2716</v>
      </c>
      <c r="E937" s="3" t="s">
        <v>3631</v>
      </c>
      <c r="F937" s="27">
        <v>1</v>
      </c>
      <c r="G937" s="28" t="s">
        <v>371</v>
      </c>
      <c r="H937" s="29"/>
    </row>
    <row r="938" spans="1:8" s="22" customFormat="1" ht="15.9" customHeight="1">
      <c r="A938" s="27">
        <v>934</v>
      </c>
      <c r="B938" s="3" t="s">
        <v>1795</v>
      </c>
      <c r="C938" s="28" t="s">
        <v>371</v>
      </c>
      <c r="D938" s="28" t="s">
        <v>2717</v>
      </c>
      <c r="E938" s="3" t="s">
        <v>3632</v>
      </c>
      <c r="F938" s="27">
        <v>1</v>
      </c>
      <c r="G938" s="28" t="s">
        <v>371</v>
      </c>
      <c r="H938" s="29"/>
    </row>
    <row r="939" spans="1:8" s="22" customFormat="1" ht="15.9" customHeight="1">
      <c r="A939" s="27">
        <v>935</v>
      </c>
      <c r="B939" s="3" t="s">
        <v>1796</v>
      </c>
      <c r="C939" s="28" t="s">
        <v>371</v>
      </c>
      <c r="D939" s="28" t="s">
        <v>2718</v>
      </c>
      <c r="E939" s="3" t="s">
        <v>3633</v>
      </c>
      <c r="F939" s="27">
        <v>1</v>
      </c>
      <c r="G939" s="28" t="s">
        <v>371</v>
      </c>
      <c r="H939" s="29"/>
    </row>
    <row r="940" spans="1:8" s="22" customFormat="1" ht="15.9" customHeight="1">
      <c r="A940" s="27">
        <v>936</v>
      </c>
      <c r="B940" s="3" t="s">
        <v>1797</v>
      </c>
      <c r="C940" s="28" t="s">
        <v>371</v>
      </c>
      <c r="D940" s="28" t="s">
        <v>2719</v>
      </c>
      <c r="E940" s="3" t="s">
        <v>3634</v>
      </c>
      <c r="F940" s="27">
        <v>1</v>
      </c>
      <c r="G940" s="28" t="s">
        <v>371</v>
      </c>
      <c r="H940" s="29"/>
    </row>
    <row r="941" spans="1:8" s="22" customFormat="1" ht="15.9" customHeight="1">
      <c r="A941" s="27">
        <v>937</v>
      </c>
      <c r="B941" s="3" t="s">
        <v>1798</v>
      </c>
      <c r="C941" s="28" t="s">
        <v>371</v>
      </c>
      <c r="D941" s="28" t="s">
        <v>2720</v>
      </c>
      <c r="E941" s="3" t="s">
        <v>3635</v>
      </c>
      <c r="F941" s="27">
        <v>1</v>
      </c>
      <c r="G941" s="28" t="s">
        <v>371</v>
      </c>
      <c r="H941" s="29"/>
    </row>
    <row r="942" spans="1:8" s="22" customFormat="1" ht="15.9" customHeight="1">
      <c r="A942" s="27">
        <v>938</v>
      </c>
      <c r="B942" s="3" t="s">
        <v>1799</v>
      </c>
      <c r="C942" s="28" t="s">
        <v>371</v>
      </c>
      <c r="D942" s="28" t="s">
        <v>2721</v>
      </c>
      <c r="E942" s="3" t="s">
        <v>3636</v>
      </c>
      <c r="F942" s="27">
        <v>1</v>
      </c>
      <c r="G942" s="28" t="s">
        <v>371</v>
      </c>
      <c r="H942" s="29"/>
    </row>
    <row r="943" spans="1:8" s="22" customFormat="1" ht="15.9" customHeight="1">
      <c r="A943" s="27">
        <v>939</v>
      </c>
      <c r="B943" s="3" t="s">
        <v>1800</v>
      </c>
      <c r="C943" s="28" t="s">
        <v>371</v>
      </c>
      <c r="D943" s="28" t="s">
        <v>2722</v>
      </c>
      <c r="E943" s="3" t="s">
        <v>3637</v>
      </c>
      <c r="F943" s="27">
        <v>1</v>
      </c>
      <c r="G943" s="28" t="s">
        <v>371</v>
      </c>
      <c r="H943" s="29"/>
    </row>
    <row r="944" spans="1:8" s="22" customFormat="1" ht="15.9" customHeight="1">
      <c r="A944" s="27">
        <v>940</v>
      </c>
      <c r="B944" s="3" t="s">
        <v>1801</v>
      </c>
      <c r="C944" s="28" t="s">
        <v>371</v>
      </c>
      <c r="D944" s="28" t="s">
        <v>2723</v>
      </c>
      <c r="E944" s="3" t="s">
        <v>3638</v>
      </c>
      <c r="F944" s="27">
        <v>1</v>
      </c>
      <c r="G944" s="28" t="s">
        <v>371</v>
      </c>
      <c r="H944" s="29"/>
    </row>
    <row r="945" spans="1:8" s="22" customFormat="1" ht="15.9" customHeight="1">
      <c r="A945" s="27">
        <v>941</v>
      </c>
      <c r="B945" s="3" t="s">
        <v>4718</v>
      </c>
      <c r="C945" s="28" t="s">
        <v>4638</v>
      </c>
      <c r="D945" s="28" t="s">
        <v>4719</v>
      </c>
      <c r="E945" s="3" t="s">
        <v>4720</v>
      </c>
      <c r="F945" s="27">
        <v>2</v>
      </c>
      <c r="G945" s="28" t="s">
        <v>4335</v>
      </c>
      <c r="H945" s="29"/>
    </row>
    <row r="946" spans="1:8" s="22" customFormat="1" ht="15.9" customHeight="1">
      <c r="A946" s="27">
        <v>942</v>
      </c>
      <c r="B946" s="3" t="s">
        <v>1802</v>
      </c>
      <c r="C946" s="28" t="s">
        <v>371</v>
      </c>
      <c r="D946" s="28" t="s">
        <v>2724</v>
      </c>
      <c r="E946" s="3" t="s">
        <v>3639</v>
      </c>
      <c r="F946" s="27">
        <v>1</v>
      </c>
      <c r="G946" s="28" t="s">
        <v>371</v>
      </c>
      <c r="H946" s="29"/>
    </row>
    <row r="947" spans="1:8" s="22" customFormat="1" ht="15.9" customHeight="1">
      <c r="A947" s="27">
        <v>943</v>
      </c>
      <c r="B947" s="3" t="s">
        <v>1803</v>
      </c>
      <c r="C947" s="28" t="s">
        <v>371</v>
      </c>
      <c r="D947" s="28" t="s">
        <v>2725</v>
      </c>
      <c r="E947" s="3" t="s">
        <v>3640</v>
      </c>
      <c r="F947" s="27">
        <v>1</v>
      </c>
      <c r="G947" s="28" t="s">
        <v>371</v>
      </c>
      <c r="H947" s="29"/>
    </row>
    <row r="948" spans="1:8" s="22" customFormat="1" ht="15.9" customHeight="1">
      <c r="A948" s="27">
        <v>944</v>
      </c>
      <c r="B948" s="3" t="s">
        <v>1804</v>
      </c>
      <c r="C948" s="28" t="s">
        <v>371</v>
      </c>
      <c r="D948" s="28" t="s">
        <v>2726</v>
      </c>
      <c r="E948" s="3" t="s">
        <v>3641</v>
      </c>
      <c r="F948" s="27">
        <v>1</v>
      </c>
      <c r="G948" s="28" t="s">
        <v>371</v>
      </c>
      <c r="H948" s="29"/>
    </row>
    <row r="949" spans="1:8" s="22" customFormat="1" ht="15.9" customHeight="1">
      <c r="A949" s="27">
        <v>945</v>
      </c>
      <c r="B949" s="3" t="s">
        <v>1805</v>
      </c>
      <c r="C949" s="28" t="s">
        <v>371</v>
      </c>
      <c r="D949" s="28" t="s">
        <v>2727</v>
      </c>
      <c r="E949" s="3" t="s">
        <v>3642</v>
      </c>
      <c r="F949" s="27">
        <v>1</v>
      </c>
      <c r="G949" s="28" t="s">
        <v>371</v>
      </c>
      <c r="H949" s="29"/>
    </row>
    <row r="950" spans="1:8" s="22" customFormat="1" ht="15.9" customHeight="1">
      <c r="A950" s="27">
        <v>946</v>
      </c>
      <c r="B950" s="3" t="s">
        <v>1806</v>
      </c>
      <c r="C950" s="28" t="s">
        <v>371</v>
      </c>
      <c r="D950" s="28" t="s">
        <v>2728</v>
      </c>
      <c r="E950" s="3" t="s">
        <v>3643</v>
      </c>
      <c r="F950" s="27">
        <v>1</v>
      </c>
      <c r="G950" s="28" t="s">
        <v>371</v>
      </c>
      <c r="H950" s="29"/>
    </row>
    <row r="951" spans="1:8" s="22" customFormat="1" ht="15.9" customHeight="1">
      <c r="A951" s="27">
        <v>947</v>
      </c>
      <c r="B951" s="3" t="s">
        <v>1807</v>
      </c>
      <c r="C951" s="28" t="s">
        <v>3677</v>
      </c>
      <c r="D951" s="28" t="s">
        <v>2729</v>
      </c>
      <c r="E951" s="3" t="s">
        <v>3644</v>
      </c>
      <c r="F951" s="27">
        <v>1</v>
      </c>
      <c r="G951" s="28" t="s">
        <v>371</v>
      </c>
      <c r="H951" s="29"/>
    </row>
    <row r="952" spans="1:8" s="22" customFormat="1" ht="15.9" customHeight="1">
      <c r="A952" s="27">
        <v>948</v>
      </c>
      <c r="B952" s="3" t="s">
        <v>1808</v>
      </c>
      <c r="C952" s="28" t="s">
        <v>371</v>
      </c>
      <c r="D952" s="28" t="s">
        <v>2730</v>
      </c>
      <c r="E952" s="3" t="s">
        <v>3645</v>
      </c>
      <c r="F952" s="27">
        <v>1</v>
      </c>
      <c r="G952" s="28" t="s">
        <v>371</v>
      </c>
      <c r="H952" s="29"/>
    </row>
    <row r="953" spans="1:8" s="22" customFormat="1" ht="15.9" customHeight="1">
      <c r="A953" s="27">
        <v>949</v>
      </c>
      <c r="B953" s="3" t="s">
        <v>1809</v>
      </c>
      <c r="C953" s="28" t="s">
        <v>371</v>
      </c>
      <c r="D953" s="28" t="s">
        <v>2731</v>
      </c>
      <c r="E953" s="3" t="s">
        <v>3646</v>
      </c>
      <c r="F953" s="27">
        <v>1</v>
      </c>
      <c r="G953" s="28" t="s">
        <v>371</v>
      </c>
      <c r="H953" s="29"/>
    </row>
    <row r="954" spans="1:8" s="22" customFormat="1" ht="15.9" customHeight="1">
      <c r="A954" s="27">
        <v>950</v>
      </c>
      <c r="B954" s="3" t="s">
        <v>1810</v>
      </c>
      <c r="C954" s="28" t="s">
        <v>371</v>
      </c>
      <c r="D954" s="28" t="s">
        <v>2732</v>
      </c>
      <c r="E954" s="3" t="s">
        <v>3647</v>
      </c>
      <c r="F954" s="27">
        <v>1</v>
      </c>
      <c r="G954" s="28" t="s">
        <v>371</v>
      </c>
      <c r="H954" s="29"/>
    </row>
    <row r="955" spans="1:8" s="22" customFormat="1" ht="15.9" customHeight="1">
      <c r="A955" s="27">
        <v>951</v>
      </c>
      <c r="B955" s="3" t="s">
        <v>1811</v>
      </c>
      <c r="C955" s="28" t="s">
        <v>371</v>
      </c>
      <c r="D955" s="28" t="s">
        <v>2733</v>
      </c>
      <c r="E955" s="3" t="s">
        <v>3648</v>
      </c>
      <c r="F955" s="27">
        <v>1</v>
      </c>
      <c r="G955" s="28" t="s">
        <v>371</v>
      </c>
      <c r="H955" s="29"/>
    </row>
    <row r="956" spans="1:8" s="22" customFormat="1" ht="15.9" customHeight="1">
      <c r="A956" s="27">
        <v>952</v>
      </c>
      <c r="B956" s="3" t="s">
        <v>1812</v>
      </c>
      <c r="C956" s="28" t="s">
        <v>371</v>
      </c>
      <c r="D956" s="28" t="s">
        <v>2734</v>
      </c>
      <c r="E956" s="3" t="s">
        <v>3649</v>
      </c>
      <c r="F956" s="27">
        <v>1</v>
      </c>
      <c r="G956" s="28" t="s">
        <v>371</v>
      </c>
      <c r="H956" s="29"/>
    </row>
    <row r="957" spans="1:8" s="22" customFormat="1" ht="15.9" customHeight="1">
      <c r="A957" s="27">
        <v>953</v>
      </c>
      <c r="B957" s="3" t="s">
        <v>1813</v>
      </c>
      <c r="C957" s="28" t="s">
        <v>371</v>
      </c>
      <c r="D957" s="28" t="s">
        <v>2735</v>
      </c>
      <c r="E957" s="3" t="s">
        <v>3650</v>
      </c>
      <c r="F957" s="27">
        <v>1</v>
      </c>
      <c r="G957" s="28" t="s">
        <v>371</v>
      </c>
      <c r="H957" s="29"/>
    </row>
    <row r="958" spans="1:8" s="22" customFormat="1" ht="15.9" customHeight="1">
      <c r="A958" s="27">
        <v>954</v>
      </c>
      <c r="B958" s="3" t="s">
        <v>1814</v>
      </c>
      <c r="C958" s="28" t="s">
        <v>371</v>
      </c>
      <c r="D958" s="28" t="s">
        <v>2736</v>
      </c>
      <c r="E958" s="3" t="s">
        <v>3651</v>
      </c>
      <c r="F958" s="27">
        <v>1</v>
      </c>
      <c r="G958" s="28" t="s">
        <v>371</v>
      </c>
      <c r="H958" s="29"/>
    </row>
    <row r="959" spans="1:8" s="22" customFormat="1" ht="15.9" customHeight="1">
      <c r="A959" s="27">
        <v>955</v>
      </c>
      <c r="B959" s="3" t="s">
        <v>1815</v>
      </c>
      <c r="C959" s="28" t="s">
        <v>3788</v>
      </c>
      <c r="D959" s="28" t="s">
        <v>2737</v>
      </c>
      <c r="E959" s="3" t="s">
        <v>3652</v>
      </c>
      <c r="F959" s="27">
        <v>1</v>
      </c>
      <c r="G959" s="28" t="s">
        <v>371</v>
      </c>
      <c r="H959" s="29"/>
    </row>
    <row r="960" spans="1:8" s="22" customFormat="1" ht="15.9" customHeight="1">
      <c r="A960" s="27">
        <v>956</v>
      </c>
      <c r="B960" s="3" t="s">
        <v>1816</v>
      </c>
      <c r="C960" s="28" t="s">
        <v>371</v>
      </c>
      <c r="D960" s="28" t="s">
        <v>2738</v>
      </c>
      <c r="E960" s="3" t="s">
        <v>3653</v>
      </c>
      <c r="F960" s="27">
        <v>1</v>
      </c>
      <c r="G960" s="28" t="s">
        <v>371</v>
      </c>
      <c r="H960" s="29"/>
    </row>
    <row r="961" spans="1:8" s="22" customFormat="1" ht="15.9" customHeight="1">
      <c r="A961" s="27">
        <v>957</v>
      </c>
      <c r="B961" s="3" t="s">
        <v>1817</v>
      </c>
      <c r="C961" s="28" t="s">
        <v>4506</v>
      </c>
      <c r="D961" s="28" t="s">
        <v>2739</v>
      </c>
      <c r="E961" s="3" t="s">
        <v>3654</v>
      </c>
      <c r="F961" s="27">
        <v>1</v>
      </c>
      <c r="G961" s="28" t="s">
        <v>371</v>
      </c>
      <c r="H961" s="29"/>
    </row>
    <row r="962" spans="1:8" s="22" customFormat="1" ht="15.9" customHeight="1">
      <c r="A962" s="27">
        <v>958</v>
      </c>
      <c r="B962" s="3" t="s">
        <v>1818</v>
      </c>
      <c r="C962" s="28" t="s">
        <v>371</v>
      </c>
      <c r="D962" s="28" t="s">
        <v>2740</v>
      </c>
      <c r="E962" s="3" t="s">
        <v>3655</v>
      </c>
      <c r="F962" s="27">
        <v>1</v>
      </c>
      <c r="G962" s="28" t="s">
        <v>371</v>
      </c>
      <c r="H962" s="29"/>
    </row>
    <row r="963" spans="1:8" s="22" customFormat="1" ht="15.9" customHeight="1">
      <c r="A963" s="27">
        <v>959</v>
      </c>
      <c r="B963" s="3" t="s">
        <v>1819</v>
      </c>
      <c r="C963" s="28" t="s">
        <v>371</v>
      </c>
      <c r="D963" s="28" t="s">
        <v>2741</v>
      </c>
      <c r="E963" s="3" t="s">
        <v>3656</v>
      </c>
      <c r="F963" s="27">
        <v>1</v>
      </c>
      <c r="G963" s="28" t="s">
        <v>371</v>
      </c>
      <c r="H963" s="29"/>
    </row>
    <row r="964" spans="1:8" s="22" customFormat="1" ht="15.9" customHeight="1">
      <c r="A964" s="27">
        <v>960</v>
      </c>
      <c r="B964" s="3" t="s">
        <v>1820</v>
      </c>
      <c r="C964" s="28" t="s">
        <v>4956</v>
      </c>
      <c r="D964" s="28" t="s">
        <v>2742</v>
      </c>
      <c r="E964" s="3" t="s">
        <v>3657</v>
      </c>
      <c r="F964" s="27">
        <v>1</v>
      </c>
      <c r="G964" s="28" t="s">
        <v>371</v>
      </c>
      <c r="H964" s="29"/>
    </row>
    <row r="965" spans="1:8" s="22" customFormat="1" ht="15.9" customHeight="1">
      <c r="A965" s="27">
        <v>961</v>
      </c>
      <c r="B965" s="3" t="s">
        <v>1821</v>
      </c>
      <c r="C965" s="28" t="s">
        <v>371</v>
      </c>
      <c r="D965" s="28" t="s">
        <v>2743</v>
      </c>
      <c r="E965" s="3" t="s">
        <v>3658</v>
      </c>
      <c r="F965" s="27">
        <v>1</v>
      </c>
      <c r="G965" s="28" t="s">
        <v>371</v>
      </c>
      <c r="H965" s="29"/>
    </row>
    <row r="966" spans="1:8" s="22" customFormat="1" ht="15.9" customHeight="1">
      <c r="A966" s="27">
        <v>962</v>
      </c>
      <c r="B966" s="3" t="s">
        <v>1822</v>
      </c>
      <c r="C966" s="28" t="s">
        <v>371</v>
      </c>
      <c r="D966" s="28" t="s">
        <v>2744</v>
      </c>
      <c r="E966" s="3" t="s">
        <v>3659</v>
      </c>
      <c r="F966" s="27">
        <v>1</v>
      </c>
      <c r="G966" s="28" t="s">
        <v>371</v>
      </c>
      <c r="H966" s="29"/>
    </row>
    <row r="967" spans="1:8" s="22" customFormat="1" ht="15.9" customHeight="1">
      <c r="A967" s="27">
        <v>963</v>
      </c>
      <c r="B967" s="3" t="s">
        <v>1823</v>
      </c>
      <c r="C967" s="28" t="s">
        <v>4950</v>
      </c>
      <c r="D967" s="28" t="s">
        <v>2745</v>
      </c>
      <c r="E967" s="3" t="s">
        <v>3660</v>
      </c>
      <c r="F967" s="27">
        <v>1</v>
      </c>
      <c r="G967" s="28" t="s">
        <v>371</v>
      </c>
      <c r="H967" s="29"/>
    </row>
    <row r="968" spans="1:8" s="22" customFormat="1" ht="15.9" customHeight="1">
      <c r="A968" s="27">
        <v>964</v>
      </c>
      <c r="B968" s="3" t="s">
        <v>1824</v>
      </c>
      <c r="C968" s="28" t="s">
        <v>102</v>
      </c>
      <c r="D968" s="28" t="s">
        <v>2746</v>
      </c>
      <c r="E968" s="3" t="s">
        <v>3661</v>
      </c>
      <c r="F968" s="27">
        <v>1</v>
      </c>
      <c r="G968" s="28" t="s">
        <v>371</v>
      </c>
      <c r="H968" s="29"/>
    </row>
    <row r="969" spans="1:8" s="22" customFormat="1" ht="15.9" customHeight="1">
      <c r="A969" s="27">
        <v>965</v>
      </c>
      <c r="B969" s="3" t="s">
        <v>1825</v>
      </c>
      <c r="C969" s="28" t="s">
        <v>371</v>
      </c>
      <c r="D969" s="28" t="s">
        <v>2747</v>
      </c>
      <c r="E969" s="3" t="s">
        <v>3662</v>
      </c>
      <c r="F969" s="27">
        <v>1</v>
      </c>
      <c r="G969" s="28" t="s">
        <v>371</v>
      </c>
      <c r="H969" s="29"/>
    </row>
    <row r="970" spans="1:8" s="22" customFormat="1" ht="15.9" customHeight="1">
      <c r="A970" s="27">
        <v>966</v>
      </c>
      <c r="B970" s="3" t="s">
        <v>1826</v>
      </c>
      <c r="C970" s="28" t="s">
        <v>371</v>
      </c>
      <c r="D970" s="28" t="s">
        <v>2748</v>
      </c>
      <c r="E970" s="3" t="s">
        <v>3663</v>
      </c>
      <c r="F970" s="27">
        <v>1</v>
      </c>
      <c r="G970" s="28" t="s">
        <v>371</v>
      </c>
      <c r="H970" s="29"/>
    </row>
    <row r="971" spans="1:8" s="22" customFormat="1" ht="15.9" customHeight="1">
      <c r="A971" s="27">
        <v>967</v>
      </c>
      <c r="B971" s="3" t="s">
        <v>1827</v>
      </c>
      <c r="C971" s="28" t="s">
        <v>371</v>
      </c>
      <c r="D971" s="28" t="s">
        <v>2749</v>
      </c>
      <c r="E971" s="3" t="s">
        <v>3664</v>
      </c>
      <c r="F971" s="27">
        <v>1</v>
      </c>
      <c r="G971" s="28" t="s">
        <v>371</v>
      </c>
      <c r="H971" s="29"/>
    </row>
    <row r="972" spans="1:8" s="22" customFormat="1" ht="15.9" customHeight="1">
      <c r="A972" s="27">
        <v>968</v>
      </c>
      <c r="B972" s="3" t="s">
        <v>1828</v>
      </c>
      <c r="C972" s="28" t="s">
        <v>371</v>
      </c>
      <c r="D972" s="28" t="s">
        <v>2750</v>
      </c>
      <c r="E972" s="3" t="s">
        <v>3665</v>
      </c>
      <c r="F972" s="27">
        <v>1</v>
      </c>
      <c r="G972" s="28" t="s">
        <v>371</v>
      </c>
      <c r="H972" s="29"/>
    </row>
    <row r="973" spans="1:8" s="22" customFormat="1" ht="15.9" customHeight="1">
      <c r="A973" s="27">
        <v>969</v>
      </c>
      <c r="B973" s="3" t="s">
        <v>1829</v>
      </c>
      <c r="C973" s="28" t="s">
        <v>371</v>
      </c>
      <c r="D973" s="28" t="s">
        <v>2751</v>
      </c>
      <c r="E973" s="3" t="s">
        <v>3666</v>
      </c>
      <c r="F973" s="27">
        <v>1</v>
      </c>
      <c r="G973" s="28" t="s">
        <v>371</v>
      </c>
      <c r="H973" s="29"/>
    </row>
    <row r="974" spans="1:8" s="22" customFormat="1" ht="15.9" customHeight="1">
      <c r="A974" s="27">
        <v>970</v>
      </c>
      <c r="B974" s="3" t="s">
        <v>1830</v>
      </c>
      <c r="C974" s="28" t="s">
        <v>371</v>
      </c>
      <c r="D974" s="28" t="s">
        <v>2752</v>
      </c>
      <c r="E974" s="3" t="s">
        <v>3667</v>
      </c>
      <c r="F974" s="27">
        <v>1</v>
      </c>
      <c r="G974" s="28" t="s">
        <v>371</v>
      </c>
      <c r="H974" s="29"/>
    </row>
    <row r="975" spans="1:8" s="22" customFormat="1" ht="15.9" customHeight="1">
      <c r="A975" s="27">
        <v>971</v>
      </c>
      <c r="B975" s="3" t="s">
        <v>1831</v>
      </c>
      <c r="C975" s="28" t="s">
        <v>371</v>
      </c>
      <c r="D975" s="28" t="s">
        <v>2753</v>
      </c>
      <c r="E975" s="3" t="s">
        <v>3789</v>
      </c>
      <c r="F975" s="27">
        <v>1</v>
      </c>
      <c r="G975" s="28" t="s">
        <v>371</v>
      </c>
      <c r="H975" s="29"/>
    </row>
  </sheetData>
  <autoFilter ref="A4:H975" xr:uid="{00000000-0009-0000-0000-000001000000}"/>
  <mergeCells count="2">
    <mergeCell ref="A1:H1"/>
    <mergeCell ref="A2:H3"/>
  </mergeCells>
  <conditionalFormatting sqref="D1:D1048576">
    <cfRule type="duplicateValues" dxfId="1" priority="1"/>
  </conditionalFormatting>
  <hyperlinks>
    <hyperlink ref="B5" r:id="rId1" display="https://drks.de/search/en/trial/DRKS00017055" xr:uid="{00000000-0004-0000-0100-000000000000}"/>
    <hyperlink ref="B6" r:id="rId2" display="https://drks.de/search/en/trial/DRKS00017577" xr:uid="{00000000-0004-0000-0100-000001000000}"/>
    <hyperlink ref="B7" r:id="rId3" display="https://drks.de/search/en/trial/DRKS00018083" xr:uid="{00000000-0004-0000-0100-000002000000}"/>
    <hyperlink ref="B8" r:id="rId4" display="https://drks.de/search/en/trial/DRKS00019079" xr:uid="{00000000-0004-0000-0100-000003000000}"/>
    <hyperlink ref="B9" r:id="rId5" display="https://drks.de/search/en/trial/DRKS00019825" xr:uid="{00000000-0004-0000-0100-000004000000}"/>
    <hyperlink ref="B10" r:id="rId6" display="https://drks.de/search/en/trial/DRKS00020476" xr:uid="{00000000-0004-0000-0100-000005000000}"/>
    <hyperlink ref="B11" r:id="rId7" display="https://drks.de/search/en/trial/DRKS00022190" xr:uid="{00000000-0004-0000-0100-000006000000}"/>
    <hyperlink ref="B12" r:id="rId8" display="https://drks.de/search/en/trial/DRKS00022214" xr:uid="{00000000-0004-0000-0100-000007000000}"/>
    <hyperlink ref="B13" r:id="rId9" display="https://drks.de/search/en/trial/DRKS00022351" xr:uid="{00000000-0004-0000-0100-000008000000}"/>
    <hyperlink ref="B14" r:id="rId10" display="https://drks.de/search/en/trial/DRKS00023143" xr:uid="{00000000-0004-0000-0100-000009000000}"/>
    <hyperlink ref="B15" r:id="rId11" display="https://drks.de/search/en/trial/DRKS00023907" xr:uid="{00000000-0004-0000-0100-00000A000000}"/>
    <hyperlink ref="B16" r:id="rId12" display="https://drks.de/search/en/trial/DRKS00024178" xr:uid="{00000000-0004-0000-0100-00000B000000}"/>
    <hyperlink ref="B17" r:id="rId13" display="https://drks.de/search/en/trial/DRKS00024978" xr:uid="{00000000-0004-0000-0100-00000C000000}"/>
    <hyperlink ref="B18" r:id="rId14" display="https://drks.de/search/en/trial/DRKS00025885" xr:uid="{00000000-0004-0000-0100-00000D000000}"/>
    <hyperlink ref="B19" r:id="rId15" display="https://drks.de/search/en/trial/DRKS00025907" xr:uid="{00000000-0004-0000-0100-00000E000000}"/>
    <hyperlink ref="B20" r:id="rId16" display="https://drks.de/search/en/trial/DRKS00026118" xr:uid="{00000000-0004-0000-0100-00000F000000}"/>
    <hyperlink ref="B21" r:id="rId17" display="https://drks.de/search/en/trial/DRKS00026231" xr:uid="{00000000-0004-0000-0100-000010000000}"/>
    <hyperlink ref="B22" r:id="rId18" display="https://drks.de/search/en/trial/DRKS00027002" xr:uid="{00000000-0004-0000-0100-000011000000}"/>
    <hyperlink ref="B23" r:id="rId19" display="https://drks.de/search/en/trial/DRKS00027316" xr:uid="{00000000-0004-0000-0100-000012000000}"/>
    <hyperlink ref="B24" r:id="rId20" display="https://drks.de/search/en/trial/DRKS00028050" xr:uid="{00000000-0004-0000-0100-000013000000}"/>
    <hyperlink ref="B25" r:id="rId21" display="https://drks.de/search/en/trial/DRKS00028895" xr:uid="{00000000-0004-0000-0100-000014000000}"/>
    <hyperlink ref="B26" r:id="rId22" display="https://drks.de/search/en/trial/DRKS00029044" xr:uid="{00000000-0004-0000-0100-000015000000}"/>
    <hyperlink ref="B27" r:id="rId23" display="https://drks.de/search/en/trial/DRKS00030631" xr:uid="{00000000-0004-0000-0100-000016000000}"/>
    <hyperlink ref="B28" r:id="rId24" display="https://drks.de/search/en/trial/DRKS00031680" xr:uid="{00000000-0004-0000-0100-000017000000}"/>
    <hyperlink ref="B29" r:id="rId25" display="https://drks.de/search/en/trial/DRKS00032316" xr:uid="{00000000-0004-0000-0100-000018000000}"/>
    <hyperlink ref="B30" r:id="rId26" display="https://drks.de/search/en/trial/DRKS00034230" xr:uid="{00000000-0004-0000-0100-000019000000}"/>
    <hyperlink ref="B31" r:id="rId27" display="https://drks.de/search/en/trial/DRKS00034544" xr:uid="{00000000-0004-0000-0100-00001A000000}"/>
    <hyperlink ref="B37" r:id="rId28" display="https://www.isrctn.com/ISRCTN11998005" xr:uid="{00000000-0004-0000-0100-00001B000000}"/>
    <hyperlink ref="B38" r:id="rId29" display="https://www.isrctn.com/ISRCTN18419418" xr:uid="{00000000-0004-0000-0100-00001C000000}"/>
    <hyperlink ref="B39" r:id="rId30" display="https://www.isrctn.com/ISRCTN21141466" xr:uid="{00000000-0004-0000-0100-00001D000000}"/>
    <hyperlink ref="B40" r:id="rId31" display="https://www.isrctn.com/ISRCTN35980117" xr:uid="{00000000-0004-0000-0100-00001E000000}"/>
    <hyperlink ref="B41" r:id="rId32" display="https://www.isrctn.com/ISRCTN49498363" xr:uid="{00000000-0004-0000-0100-00001F000000}"/>
    <hyperlink ref="B42" r:id="rId33" display="https://www.isrctn.com/ISRCTN55682735" xr:uid="{00000000-0004-0000-0100-000020000000}"/>
    <hyperlink ref="B43" r:id="rId34" display="https://www.isrctn.com/ISRCTN56047723" xr:uid="{00000000-0004-0000-0100-000021000000}"/>
    <hyperlink ref="B44" r:id="rId35" display="https://www.isrctn.com/ISRCTN77257074" xr:uid="{00000000-0004-0000-0100-000022000000}"/>
    <hyperlink ref="B45" r:id="rId36" display="https://www.isrctn.com/ISRCTN81150786" xr:uid="{00000000-0004-0000-0100-000023000000}"/>
    <hyperlink ref="B46" r:id="rId37" display="https://www.isrctn.com/ISRCTN93382525" xr:uid="{00000000-0004-0000-0100-000024000000}"/>
    <hyperlink ref="B47" r:id="rId38" display="https://jrct.niph.go.jp/en-latest-detail/jRCT1020210045" xr:uid="{00000000-0004-0000-0100-000025000000}"/>
    <hyperlink ref="B48" r:id="rId39" display="https://jrct.niph.go.jp/en-latest-detail/jRCT1030210514" xr:uid="{00000000-0004-0000-0100-000026000000}"/>
    <hyperlink ref="B49" r:id="rId40" display="https://jrct.niph.go.jp/en-latest-detail/jRCT1030210661" xr:uid="{00000000-0004-0000-0100-000027000000}"/>
    <hyperlink ref="B50" r:id="rId41" display="https://jrct.niph.go.jp/en-latest-detail/jRCT1030220303" xr:uid="{00000000-0004-0000-0100-000028000000}"/>
    <hyperlink ref="B51" r:id="rId42" display="https://jrct.niph.go.jp/en-latest-detail/jRCT1030220320" xr:uid="{00000000-0004-0000-0100-000029000000}"/>
    <hyperlink ref="B52" r:id="rId43" display="https://jrct.niph.go.jp/en-latest-detail/jRCT1030240216" xr:uid="{00000000-0004-0000-0100-00002A000000}"/>
    <hyperlink ref="B53" r:id="rId44" display="https://jrct.niph.go.jp/en-latest-detail/jRCT1032230108" xr:uid="{00000000-0004-0000-0100-00002B000000}"/>
    <hyperlink ref="B54" r:id="rId45" display="https://jrct.niph.go.jp/en-latest-detail/jRCT1041210028" xr:uid="{00000000-0004-0000-0100-00002C000000}"/>
    <hyperlink ref="B55" r:id="rId46" display="https://jrct.niph.go.jp/en-latest-detail/jRCT1050210142" xr:uid="{00000000-0004-0000-0100-00002D000000}"/>
    <hyperlink ref="B56" r:id="rId47" display="https://jrct.niph.go.jp/en-latest-detail/jRCT1050220083" xr:uid="{00000000-0004-0000-0100-00002E000000}"/>
    <hyperlink ref="B57" r:id="rId48" display="https://jrct.niph.go.jp/en-latest-detail/jRCT1060220026" xr:uid="{00000000-0004-0000-0100-00002F000000}"/>
    <hyperlink ref="B58" r:id="rId49" display="https://jrct.niph.go.jp/en-latest-detail/jRCT1060240011" xr:uid="{00000000-0004-0000-0100-000030000000}"/>
    <hyperlink ref="B59" r:id="rId50" display="https://jrct.niph.go.jp/en-latest-detail/jRCT1080225178" xr:uid="{00000000-0004-0000-0100-000031000000}"/>
    <hyperlink ref="B60" r:id="rId51" display="https://jrct.niph.go.jp/en-latest-detail/jRCT2011210024" xr:uid="{00000000-0004-0000-0100-000032000000}"/>
    <hyperlink ref="B61" r:id="rId52" display="https://jrct.niph.go.jp/en-latest-detail/jRCT2031200287" xr:uid="{00000000-0004-0000-0100-000033000000}"/>
    <hyperlink ref="B62" r:id="rId53" display="https://jrct.niph.go.jp/en-latest-detail/jRCT2031200288" xr:uid="{00000000-0004-0000-0100-000034000000}"/>
    <hyperlink ref="B63" r:id="rId54" display="https://jrct.niph.go.jp/en-latest-detail/jRCT2031210241" xr:uid="{00000000-0004-0000-0100-000035000000}"/>
    <hyperlink ref="B64" r:id="rId55" display="https://jrct.niph.go.jp/en-latest-detail/jRCT2031210251" xr:uid="{00000000-0004-0000-0100-000036000000}"/>
    <hyperlink ref="B65" r:id="rId56" display="https://jrct.niph.go.jp/en-latest-detail/jRCT2061210051" xr:uid="{00000000-0004-0000-0100-000037000000}"/>
    <hyperlink ref="B66" r:id="rId57" display="https://jrct.niph.go.jp/en-latest-detail/jRCT2061220034" xr:uid="{00000000-0004-0000-0100-000038000000}"/>
    <hyperlink ref="B67" r:id="rId58" display="https://jrct.niph.go.jp/en-latest-detail/jRCT2071210003" xr:uid="{00000000-0004-0000-0100-000039000000}"/>
    <hyperlink ref="B68" r:id="rId59" display="https://jrct.niph.go.jp/en-latest-detail/jRCT2071210040" xr:uid="{00000000-0004-0000-0100-00003A000000}"/>
    <hyperlink ref="B69" r:id="rId60" display="https://jrct.niph.go.jp/en-latest-detail/jRCTs031190197" xr:uid="{00000000-0004-0000-0100-00003B000000}"/>
    <hyperlink ref="B70" r:id="rId61" display="https://jrct.niph.go.jp/en-latest-detail/jRCTs031200050" xr:uid="{00000000-0004-0000-0100-00003C000000}"/>
    <hyperlink ref="B71" r:id="rId62" display="https://jrct.niph.go.jp/en-latest-detail/jRCTs031200258" xr:uid="{00000000-0004-0000-0100-00003D000000}"/>
    <hyperlink ref="B72" r:id="rId63" display="https://jrct.niph.go.jp/en-latest-detail/jRCTs031200338" xr:uid="{00000000-0004-0000-0100-00003E000000}"/>
    <hyperlink ref="B73" r:id="rId64" display="https://jrct.niph.go.jp/en-latest-detail/jRCTs032190089" xr:uid="{00000000-0004-0000-0100-00003F000000}"/>
    <hyperlink ref="B74" r:id="rId65" display="https://jrct.niph.go.jp/en-latest-detail/jRCTs032190244" xr:uid="{00000000-0004-0000-0100-000040000000}"/>
    <hyperlink ref="B75" r:id="rId66" display="https://jrct.niph.go.jp/en-latest-detail/jRCTs032200028" xr:uid="{00000000-0004-0000-0100-000041000000}"/>
    <hyperlink ref="B76" r:id="rId67" display="https://jrct.niph.go.jp/en-latest-detail/jRCTs032210059" xr:uid="{00000000-0004-0000-0100-000042000000}"/>
    <hyperlink ref="B77" r:id="rId68" display="https://jrct.niph.go.jp/en-latest-detail/jRCTs032210197" xr:uid="{00000000-0004-0000-0100-000043000000}"/>
    <hyperlink ref="B78" r:id="rId69" display="https://jrct.niph.go.jp/en-latest-detail/jRCTs032220691" xr:uid="{00000000-0004-0000-0100-000044000000}"/>
    <hyperlink ref="B79" r:id="rId70" display="https://jrct.niph.go.jp/en-latest-detail/jRCTs041210019" xr:uid="{00000000-0004-0000-0100-000045000000}"/>
    <hyperlink ref="B80" r:id="rId71" display="https://jrct.niph.go.jp/en-latest-detail/jRCTs052230030" xr:uid="{00000000-0004-0000-0100-000046000000}"/>
    <hyperlink ref="B82" r:id="rId72" display="https://clinicaltrials.gov/study/NCT00916201" xr:uid="{00000000-0004-0000-0100-000047000000}"/>
    <hyperlink ref="B84" r:id="rId73" display="https://clinicaltrials.gov/study/NCT02361554" xr:uid="{00000000-0004-0000-0100-000048000000}"/>
    <hyperlink ref="B85" r:id="rId74" display="https://clinicaltrials.gov/study/NCT02670447" xr:uid="{00000000-0004-0000-0100-000049000000}"/>
    <hyperlink ref="B87" r:id="rId75" display="https://clinicaltrials.gov/study/NCT03575000" xr:uid="{00000000-0004-0000-0100-00004A000000}"/>
    <hyperlink ref="B88" r:id="rId76" display="https://clinicaltrials.gov/study/NCT03708315" xr:uid="{00000000-0004-0000-0100-00004B000000}"/>
    <hyperlink ref="B89" r:id="rId77" display="https://clinicaltrials.gov/study/NCT03807388" xr:uid="{00000000-0004-0000-0100-00004C000000}"/>
    <hyperlink ref="B90" r:id="rId78" display="https://clinicaltrials.gov/study/NCT03818256" xr:uid="{00000000-0004-0000-0100-00004D000000}"/>
    <hyperlink ref="B91" r:id="rId79" display="https://clinicaltrials.gov/study/NCT03818516" xr:uid="{00000000-0004-0000-0100-00004E000000}"/>
    <hyperlink ref="B92" r:id="rId80" display="https://clinicaltrials.gov/study/NCT03900754" xr:uid="{00000000-0004-0000-0100-00004F000000}"/>
    <hyperlink ref="B93" r:id="rId81" display="https://clinicaltrials.gov/study/NCT03911726" xr:uid="{00000000-0004-0000-0100-000050000000}"/>
    <hyperlink ref="B94" r:id="rId82" display="https://clinicaltrials.gov/study/NCT03919760" xr:uid="{00000000-0004-0000-0100-000051000000}"/>
    <hyperlink ref="B95" r:id="rId83" display="https://clinicaltrials.gov/study/NCT03943537" xr:uid="{00000000-0004-0000-0100-000052000000}"/>
    <hyperlink ref="B96" r:id="rId84" display="https://clinicaltrials.gov/study/NCT03953664" xr:uid="{00000000-0004-0000-0100-000053000000}"/>
    <hyperlink ref="B97" r:id="rId85" display="https://clinicaltrials.gov/study/NCT03959735" xr:uid="{00000000-0004-0000-0100-000054000000}"/>
    <hyperlink ref="B98" r:id="rId86" display="https://clinicaltrials.gov/study/NCT03971487" xr:uid="{00000000-0004-0000-0100-000055000000}"/>
    <hyperlink ref="B99" r:id="rId87" display="https://clinicaltrials.gov/study/NCT03972735" xr:uid="{00000000-0004-0000-0100-000056000000}"/>
    <hyperlink ref="B100" r:id="rId88" display="https://clinicaltrials.gov/study/NCT03975400" xr:uid="{00000000-0004-0000-0100-000057000000}"/>
    <hyperlink ref="B101" r:id="rId89" display="https://clinicaltrials.gov/study/NCT03995368" xr:uid="{00000000-0004-0000-0100-000058000000}"/>
    <hyperlink ref="B102" r:id="rId90" display="https://clinicaltrials.gov/study/NCT03995420" xr:uid="{00000000-0004-0000-0100-000059000000}"/>
    <hyperlink ref="B103" r:id="rId91" display="https://clinicaltrials.gov/study/NCT03999112" xr:uid="{00000000-0004-0000-0100-00005A000000}"/>
    <hyperlink ref="B104" r:id="rId92" display="https://clinicaltrials.gov/study/NCT04001114" xr:uid="{00000000-0004-0000-0100-00005B000000}"/>
    <hyperlink ref="B106" r:id="rId93" display="https://clinicaltrials.gov/study/NCT04004364" xr:uid="{00000000-0004-0000-0100-00005C000000}"/>
    <hyperlink ref="B107" r:id="rId94" display="https://clinicaltrials.gov/study/NCT04004416" xr:uid="{00000000-0004-0000-0100-00005D000000}"/>
    <hyperlink ref="B108" r:id="rId95" display="https://clinicaltrials.gov/study/NCT04005794" xr:uid="{00000000-0004-0000-0100-00005E000000}"/>
    <hyperlink ref="B109" r:id="rId96" display="https://clinicaltrials.gov/study/NCT04011280" xr:uid="{00000000-0004-0000-0100-00005F000000}"/>
    <hyperlink ref="B110" r:id="rId97" display="https://clinicaltrials.gov/study/NCT04013555" xr:uid="{00000000-0004-0000-0100-000060000000}"/>
    <hyperlink ref="B111" r:id="rId98" display="https://clinicaltrials.gov/study/NCT04024371" xr:uid="{00000000-0004-0000-0100-000061000000}"/>
    <hyperlink ref="B112" r:id="rId99" display="https://clinicaltrials.gov/study/NCT04025502" xr:uid="{00000000-0004-0000-0100-000062000000}"/>
    <hyperlink ref="B113" r:id="rId100" display="https://clinicaltrials.gov/study/NCT04025905" xr:uid="{00000000-0004-0000-0100-000063000000}"/>
    <hyperlink ref="B114" r:id="rId101" display="https://clinicaltrials.gov/study/NCT04030143" xr:uid="{00000000-0004-0000-0100-000064000000}"/>
    <hyperlink ref="B115" r:id="rId102" display="https://clinicaltrials.gov/study/NCT04033679" xr:uid="{00000000-0004-0000-0100-000065000000}"/>
    <hyperlink ref="B116" r:id="rId103" display="https://clinicaltrials.gov/study/NCT04033978" xr:uid="{00000000-0004-0000-0100-000066000000}"/>
    <hyperlink ref="B117" r:id="rId104" display="https://clinicaltrials.gov/study/NCT04038840" xr:uid="{00000000-0004-0000-0100-000067000000}"/>
    <hyperlink ref="B118" r:id="rId105" display="https://clinicaltrials.gov/study/NCT04038957" xr:uid="{00000000-0004-0000-0100-000068000000}"/>
    <hyperlink ref="B119" r:id="rId106" display="https://clinicaltrials.gov/study/NCT04046497" xr:uid="{00000000-0004-0000-0100-000069000000}"/>
    <hyperlink ref="B120" r:id="rId107" display="https://clinicaltrials.gov/study/NCT04054973" xr:uid="{00000000-0004-0000-0100-00006A000000}"/>
    <hyperlink ref="B121" r:id="rId108" display="https://clinicaltrials.gov/study/NCT04068467" xr:uid="{00000000-0004-0000-0100-00006B000000}"/>
    <hyperlink ref="B122" r:id="rId109" display="https://clinicaltrials.gov/study/NCT04068857" xr:uid="{00000000-0004-0000-0100-00006C000000}"/>
    <hyperlink ref="B123" r:id="rId110" display="https://clinicaltrials.gov/study/NCT04072354" xr:uid="{00000000-0004-0000-0100-00006D000000}"/>
    <hyperlink ref="B124" r:id="rId111" display="https://clinicaltrials.gov/study/NCT04072575" xr:uid="{00000000-0004-0000-0100-00006E000000}"/>
    <hyperlink ref="B125" r:id="rId112" display="https://clinicaltrials.gov/study/NCT04106960" xr:uid="{00000000-0004-0000-0100-00006F000000}"/>
    <hyperlink ref="B126" r:id="rId113" display="https://clinicaltrials.gov/study/NCT04109950" xr:uid="{00000000-0004-0000-0100-000070000000}"/>
    <hyperlink ref="B127" r:id="rId114" display="https://clinicaltrials.gov/study/NCT04115319" xr:uid="{00000000-0004-0000-0100-000071000000}"/>
    <hyperlink ref="B128" r:id="rId115" display="https://clinicaltrials.gov/study/NCT04118127" xr:uid="{00000000-0004-0000-0100-000072000000}"/>
    <hyperlink ref="B129" r:id="rId116" display="https://clinicaltrials.gov/study/NCT04118283" xr:uid="{00000000-0004-0000-0100-000073000000}"/>
    <hyperlink ref="B130" r:id="rId117" display="https://clinicaltrials.gov/study/NCT04123223" xr:uid="{00000000-0004-0000-0100-000074000000}"/>
    <hyperlink ref="B131" r:id="rId118" display="https://clinicaltrials.gov/study/NCT04124744" xr:uid="{00000000-0004-0000-0100-000075000000}"/>
    <hyperlink ref="B132" r:id="rId119" display="https://clinicaltrials.gov/study/NCT04127058" xr:uid="{00000000-0004-0000-0100-000076000000}"/>
    <hyperlink ref="B133" r:id="rId120" display="https://clinicaltrials.gov/study/NCT04134871" xr:uid="{00000000-0004-0000-0100-000077000000}"/>
    <hyperlink ref="B134" r:id="rId121" display="https://clinicaltrials.gov/study/NCT04136873" xr:uid="{00000000-0004-0000-0100-000078000000}"/>
    <hyperlink ref="B135" r:id="rId122" display="https://clinicaltrials.gov/study/NCT04141540" xr:uid="{00000000-0004-0000-0100-000079000000}"/>
    <hyperlink ref="B136" r:id="rId123" display="https://clinicaltrials.gov/study/NCT04143126" xr:uid="{00000000-0004-0000-0100-00007A000000}"/>
    <hyperlink ref="B137" r:id="rId124" display="https://clinicaltrials.gov/study/NCT04147897" xr:uid="{00000000-0004-0000-0100-00007B000000}"/>
    <hyperlink ref="B139" r:id="rId125" display="https://clinicaltrials.gov/study/NCT04158687" xr:uid="{00000000-0004-0000-0100-00007C000000}"/>
    <hyperlink ref="B140" r:id="rId126" display="https://clinicaltrials.gov/study/NCT04159662" xr:uid="{00000000-0004-0000-0100-00007D000000}"/>
    <hyperlink ref="B141" r:id="rId127" display="https://clinicaltrials.gov/study/NCT04173572" xr:uid="{00000000-0004-0000-0100-00007E000000}"/>
    <hyperlink ref="B142" r:id="rId128" display="https://clinicaltrials.gov/study/NCT04173598" xr:uid="{00000000-0004-0000-0100-00007F000000}"/>
    <hyperlink ref="B143" r:id="rId129" display="https://clinicaltrials.gov/study/NCT04182113" xr:uid="{00000000-0004-0000-0100-000080000000}"/>
    <hyperlink ref="B144" r:id="rId130" display="https://clinicaltrials.gov/study/NCT04187560" xr:uid="{00000000-0004-0000-0100-000081000000}"/>
    <hyperlink ref="B145" r:id="rId131" display="https://clinicaltrials.gov/study/NCT04191200" xr:uid="{00000000-0004-0000-0100-000082000000}"/>
    <hyperlink ref="B146" r:id="rId132" display="https://clinicaltrials.gov/study/NCT04191876" xr:uid="{00000000-0004-0000-0100-000083000000}"/>
    <hyperlink ref="B147" r:id="rId133" display="https://clinicaltrials.gov/study/NCT04203056" xr:uid="{00000000-0004-0000-0100-000084000000}"/>
    <hyperlink ref="B148" r:id="rId134" display="https://clinicaltrials.gov/study/NCT04210557" xr:uid="{00000000-0004-0000-0100-000085000000}"/>
    <hyperlink ref="B149" r:id="rId135" display="https://clinicaltrials.gov/study/NCT04221269" xr:uid="{00000000-0004-0000-0100-000086000000}"/>
    <hyperlink ref="B150" r:id="rId136" display="https://clinicaltrials.gov/study/NCT04226898" xr:uid="{00000000-0004-0000-0100-000087000000}"/>
    <hyperlink ref="B151" r:id="rId137" display="https://clinicaltrials.gov/study/NCT04237155" xr:uid="{00000000-0004-0000-0100-000088000000}"/>
    <hyperlink ref="B153" r:id="rId138" display="https://clinicaltrials.gov/study/NCT04248517" xr:uid="{00000000-0004-0000-0100-000089000000}"/>
    <hyperlink ref="B154" r:id="rId139" display="https://clinicaltrials.gov/study/NCT04267003" xr:uid="{00000000-0004-0000-0100-00008A000000}"/>
    <hyperlink ref="B155" r:id="rId140" display="https://clinicaltrials.gov/study/NCT04268303" xr:uid="{00000000-0004-0000-0100-00008B000000}"/>
    <hyperlink ref="B156" r:id="rId141" display="https://clinicaltrials.gov/study/NCT04277936" xr:uid="{00000000-0004-0000-0100-00008C000000}"/>
    <hyperlink ref="B157" r:id="rId142" display="https://clinicaltrials.gov/study/NCT04278339" xr:uid="{00000000-0004-0000-0100-00008D000000}"/>
    <hyperlink ref="B158" r:id="rId143" display="https://clinicaltrials.gov/study/NCT04280367" xr:uid="{00000000-0004-0000-0100-00008E000000}"/>
    <hyperlink ref="B159" r:id="rId144" display="https://clinicaltrials.gov/study/NCT04294719" xr:uid="{00000000-0004-0000-0100-00008F000000}"/>
    <hyperlink ref="B160" r:id="rId145" display="https://clinicaltrials.gov/study/NCT04300946" xr:uid="{00000000-0004-0000-0100-000090000000}"/>
    <hyperlink ref="B161" r:id="rId146" display="https://clinicaltrials.gov/study/NCT04306146" xr:uid="{00000000-0004-0000-0100-000091000000}"/>
    <hyperlink ref="B162" r:id="rId147" display="https://clinicaltrials.gov/study/NCT04309370" xr:uid="{00000000-0004-0000-0100-000092000000}"/>
    <hyperlink ref="B163" r:id="rId148" display="https://clinicaltrials.gov/study/NCT04309435" xr:uid="{00000000-0004-0000-0100-000093000000}"/>
    <hyperlink ref="B164" r:id="rId149" display="https://clinicaltrials.gov/study/NCT04312503" xr:uid="{00000000-0004-0000-0100-000094000000}"/>
    <hyperlink ref="B165" r:id="rId150" display="https://clinicaltrials.gov/study/NCT04318977" xr:uid="{00000000-0004-0000-0100-000095000000}"/>
    <hyperlink ref="B166" r:id="rId151" display="https://clinicaltrials.gov/study/NCT04321759" xr:uid="{00000000-0004-0000-0100-000096000000}"/>
    <hyperlink ref="B167" r:id="rId152" display="https://clinicaltrials.gov/study/NCT04324944" xr:uid="{00000000-0004-0000-0100-000097000000}"/>
    <hyperlink ref="B168" r:id="rId153" display="https://clinicaltrials.gov/study/NCT04325386" xr:uid="{00000000-0004-0000-0100-000098000000}"/>
    <hyperlink ref="B169" r:id="rId154" display="https://clinicaltrials.gov/study/NCT04325737" xr:uid="{00000000-0004-0000-0100-000099000000}"/>
    <hyperlink ref="B171" r:id="rId155" display="https://clinicaltrials.gov/study/NCT04338152" xr:uid="{00000000-0004-0000-0100-00009A000000}"/>
    <hyperlink ref="B172" r:id="rId156" display="https://clinicaltrials.gov/study/NCT04366401" xr:uid="{00000000-0004-0000-0100-00009B000000}"/>
    <hyperlink ref="B173" r:id="rId157" display="https://clinicaltrials.gov/study/NCT04368039" xr:uid="{00000000-0004-0000-0100-00009C000000}"/>
    <hyperlink ref="B174" r:id="rId158" display="https://clinicaltrials.gov/study/NCT04370730" xr:uid="{00000000-0004-0000-0100-00009D000000}"/>
    <hyperlink ref="B175" r:id="rId159" display="https://clinicaltrials.gov/study/NCT04395157" xr:uid="{00000000-0004-0000-0100-00009E000000}"/>
    <hyperlink ref="B176" r:id="rId160" display="https://clinicaltrials.gov/study/NCT04399096" xr:uid="{00000000-0004-0000-0100-00009F000000}"/>
    <hyperlink ref="B177" r:id="rId161" display="https://clinicaltrials.gov/study/NCT04414215" xr:uid="{00000000-0004-0000-0100-0000A0000000}"/>
    <hyperlink ref="B178" r:id="rId162" display="https://clinicaltrials.gov/study/NCT04414930" xr:uid="{00000000-0004-0000-0100-0000A1000000}"/>
    <hyperlink ref="B179" r:id="rId163" display="https://clinicaltrials.gov/study/NCT04418011" xr:uid="{00000000-0004-0000-0100-0000A2000000}"/>
    <hyperlink ref="B180" r:id="rId164" display="https://clinicaltrials.gov/study/NCT04418466" xr:uid="{00000000-0004-0000-0100-0000A3000000}"/>
    <hyperlink ref="B181" r:id="rId165" display="https://clinicaltrials.gov/study/NCT04421456" xr:uid="{00000000-0004-0000-0100-0000A4000000}"/>
    <hyperlink ref="B183" r:id="rId166" display="https://clinicaltrials.gov/study/NCT04436757" xr:uid="{00000000-0004-0000-0100-0000A5000000}"/>
    <hyperlink ref="B184" r:id="rId167" display="https://clinicaltrials.gov/study/NCT04452175" xr:uid="{00000000-0004-0000-0100-0000A6000000}"/>
    <hyperlink ref="B185" r:id="rId168" display="https://clinicaltrials.gov/study/NCT04457310" xr:uid="{00000000-0004-0000-0100-0000A7000000}"/>
    <hyperlink ref="B186" r:id="rId169" display="https://clinicaltrials.gov/study/NCT04461119" xr:uid="{00000000-0004-0000-0100-0000A8000000}"/>
    <hyperlink ref="B187" r:id="rId170" display="https://clinicaltrials.gov/study/NCT04478838" xr:uid="{00000000-0004-0000-0100-0000A9000000}"/>
    <hyperlink ref="B188" r:id="rId171" display="https://clinicaltrials.gov/study/NCT04481217" xr:uid="{00000000-0004-0000-0100-0000AA000000}"/>
    <hyperlink ref="B189" r:id="rId172" display="https://clinicaltrials.gov/study/NCT04497857" xr:uid="{00000000-0004-0000-0100-0000AB000000}"/>
    <hyperlink ref="B190" r:id="rId173" display="https://clinicaltrials.gov/study/NCT04506905" xr:uid="{00000000-0004-0000-0100-0000AC000000}"/>
    <hyperlink ref="B191" r:id="rId174" display="https://clinicaltrials.gov/study/NCT04510298" xr:uid="{00000000-0004-0000-0100-0000AD000000}"/>
    <hyperlink ref="B192" r:id="rId175" display="https://clinicaltrials.gov/study/NCT04512066" xr:uid="{00000000-0004-0000-0100-0000AE000000}"/>
    <hyperlink ref="B193" r:id="rId176" display="https://clinicaltrials.gov/study/NCT04524403" xr:uid="{00000000-0004-0000-0100-0000AF000000}"/>
    <hyperlink ref="B194" r:id="rId177" display="https://clinicaltrials.gov/study/NCT04526067" xr:uid="{00000000-0004-0000-0100-0000B0000000}"/>
    <hyperlink ref="B195" r:id="rId178" display="https://clinicaltrials.gov/study/NCT04531982" xr:uid="{00000000-0004-0000-0100-0000B1000000}"/>
    <hyperlink ref="B196" r:id="rId179" display="https://clinicaltrials.gov/study/NCT04554121" xr:uid="{00000000-0004-0000-0100-0000B2000000}"/>
    <hyperlink ref="B197" r:id="rId180" display="https://clinicaltrials.gov/study/NCT04559529" xr:uid="{00000000-0004-0000-0100-0000B3000000}"/>
    <hyperlink ref="B199" r:id="rId181" display="https://clinicaltrials.gov/study/NCT04567524" xr:uid="{00000000-0004-0000-0100-0000B4000000}"/>
    <hyperlink ref="B200" r:id="rId182" display="https://clinicaltrials.gov/study/NCT04572685" xr:uid="{00000000-0004-0000-0100-0000B5000000}"/>
    <hyperlink ref="B201" r:id="rId183" display="https://clinicaltrials.gov/study/NCT04578314" xr:uid="{00000000-0004-0000-0100-0000B6000000}"/>
    <hyperlink ref="B202" r:id="rId184" display="https://clinicaltrials.gov/study/NCT04578756" xr:uid="{00000000-0004-0000-0100-0000B7000000}"/>
    <hyperlink ref="B203" r:id="rId185" display="https://clinicaltrials.gov/study/NCT04580134" xr:uid="{00000000-0004-0000-0100-0000B8000000}"/>
    <hyperlink ref="B204" r:id="rId186" display="https://clinicaltrials.gov/study/NCT04588129" xr:uid="{00000000-0004-0000-0100-0000B9000000}"/>
    <hyperlink ref="B205" r:id="rId187" display="https://clinicaltrials.gov/study/NCT04590300" xr:uid="{00000000-0004-0000-0100-0000BA000000}"/>
    <hyperlink ref="B206" r:id="rId188" display="https://clinicaltrials.gov/study/NCT04602741" xr:uid="{00000000-0004-0000-0100-0000BB000000}"/>
    <hyperlink ref="B207" r:id="rId189" display="https://clinicaltrials.gov/study/NCT04608032" xr:uid="{00000000-0004-0000-0100-0000BC000000}"/>
    <hyperlink ref="B208" r:id="rId190" display="https://clinicaltrials.gov/study/NCT04610697" xr:uid="{00000000-0004-0000-0100-0000BD000000}"/>
    <hyperlink ref="B209" r:id="rId191" display="https://clinicaltrials.gov/study/NCT04624243" xr:uid="{00000000-0004-0000-0100-0000BE000000}"/>
    <hyperlink ref="B210" r:id="rId192" display="https://clinicaltrials.gov/study/NCT04631939" xr:uid="{00000000-0004-0000-0100-0000BF000000}"/>
    <hyperlink ref="B211" r:id="rId193" display="https://clinicaltrials.gov/study/NCT04655235" xr:uid="{00000000-0004-0000-0100-0000C0000000}"/>
    <hyperlink ref="B212" r:id="rId194" display="https://clinicaltrials.gov/study/NCT04659161" xr:uid="{00000000-0004-0000-0100-0000C1000000}"/>
    <hyperlink ref="B213" r:id="rId195" display="https://clinicaltrials.gov/study/NCT04659174" xr:uid="{00000000-0004-0000-0100-0000C2000000}"/>
    <hyperlink ref="B214" r:id="rId196" display="https://clinicaltrials.gov/study/NCT04673851" xr:uid="{00000000-0004-0000-0100-0000C3000000}"/>
    <hyperlink ref="B215" r:id="rId197" display="https://clinicaltrials.gov/study/NCT04681807" xr:uid="{00000000-0004-0000-0100-0000C4000000}"/>
    <hyperlink ref="B216" r:id="rId198" display="https://clinicaltrials.gov/study/NCT04689867" xr:uid="{00000000-0004-0000-0100-0000C5000000}"/>
    <hyperlink ref="B217" r:id="rId199" display="https://clinicaltrials.gov/study/NCT04709224" xr:uid="{00000000-0004-0000-0100-0000C6000000}"/>
    <hyperlink ref="B218" r:id="rId200" display="https://clinicaltrials.gov/study/NCT04712734" xr:uid="{00000000-0004-0000-0100-0000C7000000}"/>
    <hyperlink ref="B219" r:id="rId201" display="https://clinicaltrials.gov/study/NCT04730518" xr:uid="{00000000-0004-0000-0100-0000C8000000}"/>
    <hyperlink ref="B220" r:id="rId202" display="https://clinicaltrials.gov/study/NCT04748679" xr:uid="{00000000-0004-0000-0100-0000C9000000}"/>
    <hyperlink ref="B221" r:id="rId203" display="https://clinicaltrials.gov/study/NCT04752449" xr:uid="{00000000-0004-0000-0100-0000CA000000}"/>
    <hyperlink ref="B222" r:id="rId204" display="https://clinicaltrials.gov/study/NCT04756388" xr:uid="{00000000-0004-0000-0100-0000CB000000}"/>
    <hyperlink ref="B223" r:id="rId205" display="https://clinicaltrials.gov/study/NCT04763655" xr:uid="{00000000-0004-0000-0100-0000CC000000}"/>
    <hyperlink ref="B224" r:id="rId206" display="https://clinicaltrials.gov/study/NCT04768335" xr:uid="{00000000-0004-0000-0100-0000CD000000}"/>
    <hyperlink ref="B225" r:id="rId207" display="https://clinicaltrials.gov/study/NCT04779177" xr:uid="{00000000-0004-0000-0100-0000CE000000}"/>
    <hyperlink ref="B226" r:id="rId208" display="https://clinicaltrials.gov/study/NCT04781179" xr:uid="{00000000-0004-0000-0100-0000CF000000}"/>
    <hyperlink ref="B227" r:id="rId209" display="https://clinicaltrials.gov/study/NCT04783246" xr:uid="{00000000-0004-0000-0100-0000D0000000}"/>
    <hyperlink ref="B228" r:id="rId210" display="https://clinicaltrials.gov/study/NCT04783571" xr:uid="{00000000-0004-0000-0100-0000D1000000}"/>
    <hyperlink ref="B229" r:id="rId211" display="https://clinicaltrials.gov/study/NCT04787302" xr:uid="{00000000-0004-0000-0100-0000D2000000}"/>
    <hyperlink ref="B231" r:id="rId212" display="https://clinicaltrials.gov/study/NCT04799717" xr:uid="{00000000-0004-0000-0100-0000D3000000}"/>
    <hyperlink ref="B232" r:id="rId213" display="https://clinicaltrials.gov/study/NCT04807530" xr:uid="{00000000-0004-0000-0100-0000D4000000}"/>
    <hyperlink ref="B233" r:id="rId214" display="https://clinicaltrials.gov/study/NCT04820309" xr:uid="{00000000-0004-0000-0100-0000D5000000}"/>
    <hyperlink ref="B234" r:id="rId215" display="https://clinicaltrials.gov/study/NCT04822883" xr:uid="{00000000-0004-0000-0100-0000D6000000}"/>
    <hyperlink ref="B235" r:id="rId216" display="https://clinicaltrials.gov/study/NCT04825860" xr:uid="{00000000-0004-0000-0100-0000D7000000}"/>
    <hyperlink ref="B236" r:id="rId217" display="https://clinicaltrials.gov/study/NCT04846868" xr:uid="{00000000-0004-0000-0100-0000D8000000}"/>
    <hyperlink ref="B237" r:id="rId218" display="https://clinicaltrials.gov/study/NCT04846881" xr:uid="{00000000-0004-0000-0100-0000D9000000}"/>
    <hyperlink ref="B238" r:id="rId219" display="https://clinicaltrials.gov/study/NCT04856657" xr:uid="{00000000-0004-0000-0100-0000DA000000}"/>
    <hyperlink ref="B239" r:id="rId220" display="https://clinicaltrials.gov/study/NCT04857983" xr:uid="{00000000-0004-0000-0100-0000DB000000}"/>
    <hyperlink ref="B240" r:id="rId221" display="https://clinicaltrials.gov/study/NCT04860830" xr:uid="{00000000-0004-0000-0100-0000DC000000}"/>
    <hyperlink ref="B241" r:id="rId222" display="https://clinicaltrials.gov/study/NCT04865835" xr:uid="{00000000-0004-0000-0100-0000DD000000}"/>
    <hyperlink ref="B242" r:id="rId223" display="https://clinicaltrials.gov/study/NCT04867681" xr:uid="{00000000-0004-0000-0100-0000DE000000}"/>
    <hyperlink ref="B243" r:id="rId224" display="https://clinicaltrials.gov/study/NCT04870710" xr:uid="{00000000-0004-0000-0100-0000DF000000}"/>
    <hyperlink ref="B244" r:id="rId225" display="https://clinicaltrials.gov/study/NCT04874974" xr:uid="{00000000-0004-0000-0100-0000E0000000}"/>
    <hyperlink ref="B245" r:id="rId226" display="https://clinicaltrials.gov/study/NCT04887792" xr:uid="{00000000-0004-0000-0100-0000E1000000}"/>
    <hyperlink ref="B246" r:id="rId227" display="https://clinicaltrials.gov/study/NCT04895488" xr:uid="{00000000-0004-0000-0100-0000E2000000}"/>
    <hyperlink ref="B247" r:id="rId228" display="https://clinicaltrials.gov/study/NCT04907279" xr:uid="{00000000-0004-0000-0100-0000E3000000}"/>
    <hyperlink ref="B248" r:id="rId229" display="https://clinicaltrials.gov/study/NCT04911010" xr:uid="{00000000-0004-0000-0100-0000E4000000}"/>
    <hyperlink ref="B249" r:id="rId230" display="https://clinicaltrials.gov/study/NCT04922593" xr:uid="{00000000-0004-0000-0100-0000E5000000}"/>
    <hyperlink ref="B250" r:id="rId231" display="https://clinicaltrials.gov/study/NCT04940663" xr:uid="{00000000-0004-0000-0100-0000E6000000}"/>
    <hyperlink ref="B251" r:id="rId232" display="https://clinicaltrials.gov/study/NCT04946916" xr:uid="{00000000-0004-0000-0100-0000E7000000}"/>
    <hyperlink ref="B252" r:id="rId233" display="https://clinicaltrials.gov/study/NCT04951700" xr:uid="{00000000-0004-0000-0100-0000E8000000}"/>
    <hyperlink ref="B253" r:id="rId234" display="https://clinicaltrials.gov/study/NCT04959032" xr:uid="{00000000-0004-0000-0100-0000E9000000}"/>
    <hyperlink ref="B254" r:id="rId235" display="https://clinicaltrials.gov/study/NCT04968223" xr:uid="{00000000-0004-0000-0100-0000EA000000}"/>
    <hyperlink ref="B255" r:id="rId236" display="https://clinicaltrials.gov/study/NCT04972227" xr:uid="{00000000-0004-0000-0100-0000EB000000}"/>
    <hyperlink ref="B256" r:id="rId237" display="https://clinicaltrials.gov/study/NCT04985786" xr:uid="{00000000-0004-0000-0100-0000EC000000}"/>
    <hyperlink ref="B257" r:id="rId238" display="https://clinicaltrials.gov/study/NCT04986072" xr:uid="{00000000-0004-0000-0100-0000ED000000}"/>
    <hyperlink ref="B258" r:id="rId239" display="https://clinicaltrials.gov/study/NCT04987151" xr:uid="{00000000-0004-0000-0100-0000EE000000}"/>
    <hyperlink ref="B259" r:id="rId240" display="https://clinicaltrials.gov/study/NCT04987229" xr:uid="{00000000-0004-0000-0100-0000EF000000}"/>
    <hyperlink ref="B260" r:id="rId241" display="https://clinicaltrials.gov/study/NCT05017532" xr:uid="{00000000-0004-0000-0100-0000F0000000}"/>
    <hyperlink ref="B261" r:id="rId242" display="https://clinicaltrials.gov/study/NCT05023252" xr:uid="{00000000-0004-0000-0100-0000F1000000}"/>
    <hyperlink ref="B262" r:id="rId243" display="https://clinicaltrials.gov/study/NCT05025605" xr:uid="{00000000-0004-0000-0100-0000F2000000}"/>
    <hyperlink ref="B263" r:id="rId244" display="https://clinicaltrials.gov/study/NCT05030272" xr:uid="{00000000-0004-0000-0100-0000F3000000}"/>
    <hyperlink ref="B264" r:id="rId245" display="https://clinicaltrials.gov/study/NCT05032963" xr:uid="{00000000-0004-0000-0100-0000F4000000}"/>
    <hyperlink ref="B265" r:id="rId246" display="https://clinicaltrials.gov/study/NCT05036590" xr:uid="{00000000-0004-0000-0100-0000F5000000}"/>
    <hyperlink ref="B266" r:id="rId247" display="https://clinicaltrials.gov/study/NCT05046353" xr:uid="{00000000-0004-0000-0100-0000F6000000}"/>
    <hyperlink ref="B267" r:id="rId248" display="https://clinicaltrials.gov/study/NCT05053451" xr:uid="{00000000-0004-0000-0100-0000F7000000}"/>
    <hyperlink ref="B268" r:id="rId249" display="https://clinicaltrials.gov/study/NCT05083377" xr:uid="{00000000-0004-0000-0100-0000F8000000}"/>
    <hyperlink ref="B269" r:id="rId250" display="https://clinicaltrials.gov/study/NCT05102929" xr:uid="{00000000-0004-0000-0100-0000F9000000}"/>
    <hyperlink ref="B270" r:id="rId251" display="https://clinicaltrials.gov/study/NCT05105542" xr:uid="{00000000-0004-0000-0100-0000FA000000}"/>
    <hyperlink ref="B271" r:id="rId252" display="https://clinicaltrials.gov/study/NCT05106309" xr:uid="{00000000-0004-0000-0100-0000FB000000}"/>
    <hyperlink ref="B272" r:id="rId253" display="https://clinicaltrials.gov/study/NCT05109065" xr:uid="{00000000-0004-0000-0100-0000FC000000}"/>
    <hyperlink ref="B273" r:id="rId254" display="https://clinicaltrials.gov/study/NCT05110157" xr:uid="{00000000-0004-0000-0100-0000FD000000}"/>
    <hyperlink ref="B274" r:id="rId255" display="https://clinicaltrials.gov/study/NCT05111548" xr:uid="{00000000-0004-0000-0100-0000FE000000}"/>
    <hyperlink ref="B275" r:id="rId256" display="https://clinicaltrials.gov/study/NCT05115604" xr:uid="{00000000-0004-0000-0100-0000FF000000}"/>
    <hyperlink ref="B276" r:id="rId257" display="https://clinicaltrials.gov/study/NCT05124470" xr:uid="{00000000-0004-0000-0100-000000010000}"/>
    <hyperlink ref="B277" r:id="rId258" display="https://clinicaltrials.gov/study/NCT05127837" xr:uid="{00000000-0004-0000-0100-000001010000}"/>
    <hyperlink ref="B278" r:id="rId259" display="https://clinicaltrials.gov/study/NCT05130853" xr:uid="{00000000-0004-0000-0100-000002010000}"/>
    <hyperlink ref="B279" r:id="rId260" display="https://clinicaltrials.gov/study/NCT05131035" xr:uid="{00000000-0004-0000-0100-000003010000}"/>
    <hyperlink ref="B280" r:id="rId261" display="https://clinicaltrials.gov/study/NCT05136690" xr:uid="{00000000-0004-0000-0100-000004010000}"/>
    <hyperlink ref="B281" r:id="rId262" display="https://clinicaltrials.gov/study/NCT05140135" xr:uid="{00000000-0004-0000-0100-000005010000}"/>
    <hyperlink ref="B282" r:id="rId263" display="https://clinicaltrials.gov/study/NCT05142735" xr:uid="{00000000-0004-0000-0100-000006010000}"/>
    <hyperlink ref="B283" r:id="rId264" display="https://clinicaltrials.gov/study/NCT05145413" xr:uid="{00000000-0004-0000-0100-000007010000}"/>
    <hyperlink ref="B284" r:id="rId265" display="https://clinicaltrials.gov/study/NCT05157620" xr:uid="{00000000-0004-0000-0100-000008010000}"/>
    <hyperlink ref="B285" r:id="rId266" display="https://clinicaltrials.gov/study/NCT05167396" xr:uid="{00000000-0004-0000-0100-000009010000}"/>
    <hyperlink ref="B286" r:id="rId267" display="https://clinicaltrials.gov/study/NCT05179525" xr:uid="{00000000-0004-0000-0100-00000A010000}"/>
    <hyperlink ref="B287" r:id="rId268" display="https://clinicaltrials.gov/study/NCT05182476" xr:uid="{00000000-0004-0000-0100-00000B010000}"/>
    <hyperlink ref="B288" r:id="rId269" display="https://clinicaltrials.gov/study/NCT05184335" xr:uid="{00000000-0004-0000-0100-00000C010000}"/>
    <hyperlink ref="B289" r:id="rId270" display="https://clinicaltrials.gov/study/NCT05185128" xr:uid="{00000000-0004-0000-0100-00000D010000}"/>
    <hyperlink ref="B290" r:id="rId271" display="https://clinicaltrials.gov/study/NCT05204407" xr:uid="{00000000-0004-0000-0100-00000E010000}"/>
    <hyperlink ref="B291" r:id="rId272" display="https://clinicaltrials.gov/study/NCT05206292" xr:uid="{00000000-0004-0000-0100-00000F010000}"/>
    <hyperlink ref="B292" r:id="rId273" display="https://clinicaltrials.gov/study/NCT05206734" xr:uid="{00000000-0004-0000-0100-000010010000}"/>
    <hyperlink ref="B293" r:id="rId274" display="https://clinicaltrials.gov/study/NCT05208190" xr:uid="{00000000-0004-0000-0100-000011010000}"/>
    <hyperlink ref="B294" r:id="rId275" display="https://clinicaltrials.gov/study/NCT05211947" xr:uid="{00000000-0004-0000-0100-000012010000}"/>
    <hyperlink ref="B295" r:id="rId276" display="https://clinicaltrials.gov/study/NCT05227118" xr:uid="{00000000-0004-0000-0100-000013010000}"/>
    <hyperlink ref="B296" r:id="rId277" display="https://clinicaltrials.gov/study/NCT05227690" xr:uid="{00000000-0004-0000-0100-000014010000}"/>
    <hyperlink ref="B297" r:id="rId278" display="https://clinicaltrials.gov/study/NCT05227703" xr:uid="{00000000-0004-0000-0100-000015010000}"/>
    <hyperlink ref="B298" r:id="rId279" display="https://clinicaltrials.gov/study/NCT05245539" xr:uid="{00000000-0004-0000-0100-000016010000}"/>
    <hyperlink ref="B299" r:id="rId280" display="https://clinicaltrials.gov/study/NCT05247151" xr:uid="{00000000-0004-0000-0100-000017010000}"/>
    <hyperlink ref="B300" r:id="rId281" display="https://clinicaltrials.gov/study/NCT05252039" xr:uid="{00000000-0004-0000-0100-000018010000}"/>
    <hyperlink ref="B301" r:id="rId282" display="https://clinicaltrials.gov/study/NCT05259306" xr:uid="{00000000-0004-0000-0100-000019010000}"/>
    <hyperlink ref="B302" r:id="rId283" display="https://clinicaltrials.gov/study/NCT05268809" xr:uid="{00000000-0004-0000-0100-00001A010000}"/>
    <hyperlink ref="B303" r:id="rId284" display="https://clinicaltrials.gov/study/NCT05273164" xr:uid="{00000000-0004-0000-0100-00001B010000}"/>
    <hyperlink ref="B304" r:id="rId285" display="https://clinicaltrials.gov/study/NCT05276050" xr:uid="{00000000-0004-0000-0100-00001C010000}"/>
    <hyperlink ref="B305" r:id="rId286" display="https://clinicaltrials.gov/study/NCT05281640" xr:uid="{00000000-0004-0000-0100-00001D010000}"/>
    <hyperlink ref="B306" r:id="rId287" display="https://clinicaltrials.gov/study/NCT05282186" xr:uid="{00000000-0004-0000-0100-00001E010000}"/>
    <hyperlink ref="B307" r:id="rId288" display="https://clinicaltrials.gov/study/NCT05296720" xr:uid="{00000000-0004-0000-0100-00001F010000}"/>
    <hyperlink ref="B308" r:id="rId289" display="https://clinicaltrials.gov/study/NCT05299749" xr:uid="{00000000-0004-0000-0100-000020010000}"/>
    <hyperlink ref="B309" r:id="rId290" display="https://clinicaltrials.gov/study/NCT05300633" xr:uid="{00000000-0004-0000-0100-000021010000}"/>
    <hyperlink ref="B310" r:id="rId291" display="https://clinicaltrials.gov/study/NCT05303064" xr:uid="{00000000-0004-0000-0100-000022010000}"/>
    <hyperlink ref="B311" r:id="rId292" display="https://clinicaltrials.gov/study/NCT05304767" xr:uid="{00000000-0004-0000-0100-000023010000}"/>
    <hyperlink ref="B312" r:id="rId293" display="https://clinicaltrials.gov/study/NCT05319080" xr:uid="{00000000-0004-0000-0100-000024010000}"/>
    <hyperlink ref="B313" r:id="rId294" display="https://clinicaltrials.gov/study/NCT05321602" xr:uid="{00000000-0004-0000-0100-000025010000}"/>
    <hyperlink ref="B314" r:id="rId295" display="https://clinicaltrials.gov/study/NCT05322031" xr:uid="{00000000-0004-0000-0100-000026010000}"/>
    <hyperlink ref="B315" r:id="rId296" display="https://clinicaltrials.gov/study/NCT05325645" xr:uid="{00000000-0004-0000-0100-000027010000}"/>
    <hyperlink ref="B316" r:id="rId297" display="https://clinicaltrials.gov/study/NCT05326347" xr:uid="{00000000-0004-0000-0100-000028010000}"/>
    <hyperlink ref="B317" r:id="rId298" display="https://clinicaltrials.gov/study/NCT05329363" xr:uid="{00000000-0004-0000-0100-000029010000}"/>
    <hyperlink ref="B318" r:id="rId299" display="https://clinicaltrials.gov/study/NCT05333003" xr:uid="{00000000-0004-0000-0100-00002A010000}"/>
    <hyperlink ref="B319" r:id="rId300" display="https://clinicaltrials.gov/study/NCT05337904" xr:uid="{00000000-0004-0000-0100-00002B010000}"/>
    <hyperlink ref="B320" r:id="rId301" display="https://clinicaltrials.gov/study/NCT05338424" xr:uid="{00000000-0004-0000-0100-00002C010000}"/>
    <hyperlink ref="B321" r:id="rId302" display="https://clinicaltrials.gov/study/NCT05340348" xr:uid="{00000000-0004-0000-0100-00002D010000}"/>
    <hyperlink ref="B322" r:id="rId303" display="https://clinicaltrials.gov/study/NCT05343598" xr:uid="{00000000-0004-0000-0100-00002E010000}"/>
    <hyperlink ref="B323" r:id="rId304" display="https://clinicaltrials.gov/study/NCT05345184" xr:uid="{00000000-0004-0000-0100-00002F010000}"/>
    <hyperlink ref="B324" r:id="rId305" display="https://clinicaltrials.gov/study/NCT05345977" xr:uid="{00000000-0004-0000-0100-000030010000}"/>
    <hyperlink ref="B325" r:id="rId306" display="https://clinicaltrials.gov/study/NCT05349513" xr:uid="{00000000-0004-0000-0100-000031010000}"/>
    <hyperlink ref="B326" r:id="rId307" display="https://clinicaltrials.gov/study/NCT05351736" xr:uid="{00000000-0004-0000-0100-000032010000}"/>
    <hyperlink ref="B327" r:id="rId308" display="https://clinicaltrials.gov/study/NCT05352568" xr:uid="{00000000-0004-0000-0100-000033010000}"/>
    <hyperlink ref="B328" r:id="rId309" display="https://clinicaltrials.gov/study/NCT05359081" xr:uid="{00000000-0004-0000-0100-000034010000}"/>
    <hyperlink ref="B329" r:id="rId310" display="https://clinicaltrials.gov/study/NCT05368558" xr:uid="{00000000-0004-0000-0100-000035010000}"/>
    <hyperlink ref="B330" r:id="rId311" display="https://clinicaltrials.gov/study/NCT05389345" xr:uid="{00000000-0004-0000-0100-000036010000}"/>
    <hyperlink ref="B331" r:id="rId312" display="https://clinicaltrials.gov/study/NCT05389787" xr:uid="{00000000-0004-0000-0100-000037010000}"/>
    <hyperlink ref="B332" r:id="rId313" display="https://clinicaltrials.gov/study/NCT05402111" xr:uid="{00000000-0004-0000-0100-000038010000}"/>
    <hyperlink ref="B333" r:id="rId314" display="https://clinicaltrials.gov/study/NCT05406440" xr:uid="{00000000-0004-0000-0100-000039010000}"/>
    <hyperlink ref="B334" r:id="rId315" display="https://clinicaltrials.gov/study/NCT05414058" xr:uid="{00000000-0004-0000-0100-00003A010000}"/>
    <hyperlink ref="B336" r:id="rId316" display="https://clinicaltrials.gov/study/NCT05435300" xr:uid="{00000000-0004-0000-0100-00003B010000}"/>
    <hyperlink ref="B337" r:id="rId317" display="https://clinicaltrials.gov/study/NCT05438160" xr:uid="{00000000-0004-0000-0100-00003C010000}"/>
    <hyperlink ref="B338" r:id="rId318" display="https://clinicaltrials.gov/study/NCT05440955" xr:uid="{00000000-0004-0000-0100-00003D010000}"/>
    <hyperlink ref="B339" r:id="rId319" display="https://clinicaltrials.gov/study/NCT05443724" xr:uid="{00000000-0004-0000-0100-00003E010000}"/>
    <hyperlink ref="B340" r:id="rId320" display="https://clinicaltrials.gov/study/NCT05457127" xr:uid="{00000000-0004-0000-0100-00003F010000}"/>
    <hyperlink ref="B341" r:id="rId321" display="https://clinicaltrials.gov/study/NCT05462340" xr:uid="{00000000-0004-0000-0100-000040010000}"/>
    <hyperlink ref="B342" r:id="rId322" display="https://clinicaltrials.gov/study/NCT05463770" xr:uid="{00000000-0004-0000-0100-000041010000}"/>
    <hyperlink ref="B343" r:id="rId323" display="https://clinicaltrials.gov/study/NCT05464563" xr:uid="{00000000-0004-0000-0100-000042010000}"/>
    <hyperlink ref="B344" r:id="rId324" display="https://clinicaltrials.gov/study/NCT05469815" xr:uid="{00000000-0004-0000-0100-000043010000}"/>
    <hyperlink ref="B345" r:id="rId325" display="https://clinicaltrials.gov/study/NCT05473741" xr:uid="{00000000-0004-0000-0100-000044010000}"/>
    <hyperlink ref="B346" r:id="rId326" display="https://clinicaltrials.gov/study/NCT05480046" xr:uid="{00000000-0004-0000-0100-000045010000}"/>
    <hyperlink ref="B347" r:id="rId327" display="https://clinicaltrials.gov/study/NCT05480826" xr:uid="{00000000-0004-0000-0100-000046010000}"/>
    <hyperlink ref="B348" r:id="rId328" display="https://clinicaltrials.gov/study/NCT05486312" xr:uid="{00000000-0004-0000-0100-000047010000}"/>
    <hyperlink ref="B349" r:id="rId329" display="https://clinicaltrials.gov/study/NCT05491486" xr:uid="{00000000-0004-0000-0100-000048010000}"/>
    <hyperlink ref="B350" r:id="rId330" display="https://clinicaltrials.gov/study/NCT05491538" xr:uid="{00000000-0004-0000-0100-000049010000}"/>
    <hyperlink ref="B351" r:id="rId331" display="https://clinicaltrials.gov/study/NCT05511363" xr:uid="{00000000-0004-0000-0100-00004A010000}"/>
    <hyperlink ref="B352" r:id="rId332" display="https://clinicaltrials.gov/study/NCT05526833" xr:uid="{00000000-0004-0000-0100-00004B010000}"/>
    <hyperlink ref="B353" r:id="rId333" display="https://clinicaltrials.gov/study/NCT05527210" xr:uid="{00000000-0004-0000-0100-00004C010000}"/>
    <hyperlink ref="B354" r:id="rId334" display="https://clinicaltrials.gov/study/NCT05532683" xr:uid="{00000000-0004-0000-0100-00004D010000}"/>
    <hyperlink ref="B355" r:id="rId335" display="https://clinicaltrials.gov/study/NCT05537428" xr:uid="{00000000-0004-0000-0100-00004E010000}"/>
    <hyperlink ref="B356" r:id="rId336" display="https://clinicaltrials.gov/study/NCT05538832" xr:uid="{00000000-0004-0000-0100-00004F010000}"/>
    <hyperlink ref="B357" r:id="rId337" display="https://clinicaltrials.gov/study/NCT05542264" xr:uid="{00000000-0004-0000-0100-000050010000}"/>
    <hyperlink ref="B358" r:id="rId338" display="https://clinicaltrials.gov/study/NCT05545111" xr:uid="{00000000-0004-0000-0100-000051010000}"/>
    <hyperlink ref="B359" r:id="rId339" display="https://clinicaltrials.gov/study/NCT05550155" xr:uid="{00000000-0004-0000-0100-000052010000}"/>
    <hyperlink ref="B360" r:id="rId340" display="https://clinicaltrials.gov/study/NCT05567848" xr:uid="{00000000-0004-0000-0100-000053010000}"/>
    <hyperlink ref="B361" r:id="rId341" display="https://clinicaltrials.gov/study/NCT05571228" xr:uid="{00000000-0004-0000-0100-000054010000}"/>
    <hyperlink ref="B362" r:id="rId342" display="https://clinicaltrials.gov/study/NCT05580211" xr:uid="{00000000-0004-0000-0100-000055010000}"/>
    <hyperlink ref="B363" r:id="rId343" display="https://clinicaltrials.gov/study/NCT05601050" xr:uid="{00000000-0004-0000-0100-000056010000}"/>
    <hyperlink ref="B364" r:id="rId344" display="https://clinicaltrials.gov/study/NCT05601063" xr:uid="{00000000-0004-0000-0100-000057010000}"/>
    <hyperlink ref="B365" r:id="rId345" display="https://clinicaltrials.gov/study/NCT05628103" xr:uid="{00000000-0004-0000-0100-000058010000}"/>
    <hyperlink ref="B366" r:id="rId346" display="https://clinicaltrials.gov/study/NCT05643170" xr:uid="{00000000-0004-0000-0100-000059010000}"/>
    <hyperlink ref="B367" r:id="rId347" display="https://clinicaltrials.gov/study/NCT05643196" xr:uid="{00000000-0004-0000-0100-00005A010000}"/>
    <hyperlink ref="B368" r:id="rId348" display="https://clinicaltrials.gov/study/NCT05648591" xr:uid="{00000000-0004-0000-0100-00005B010000}"/>
    <hyperlink ref="B369" r:id="rId349" display="https://clinicaltrials.gov/study/NCT05654870" xr:uid="{00000000-0004-0000-0100-00005C010000}"/>
    <hyperlink ref="B370" r:id="rId350" display="https://clinicaltrials.gov/study/NCT05658510" xr:uid="{00000000-0004-0000-0100-00005D010000}"/>
    <hyperlink ref="B371" r:id="rId351" display="https://clinicaltrials.gov/study/NCT05660018" xr:uid="{00000000-0004-0000-0100-00005E010000}"/>
    <hyperlink ref="B372" r:id="rId352" display="https://clinicaltrials.gov/study/NCT05660070" xr:uid="{00000000-0004-0000-0100-00005F010000}"/>
    <hyperlink ref="B373" r:id="rId353" display="https://clinicaltrials.gov/study/NCT05661448" xr:uid="{00000000-0004-0000-0100-000060010000}"/>
    <hyperlink ref="B374" r:id="rId354" display="https://clinicaltrials.gov/study/NCT05662306" xr:uid="{00000000-0004-0000-0100-000061010000}"/>
    <hyperlink ref="B375" r:id="rId355" display="https://clinicaltrials.gov/study/NCT05664594" xr:uid="{00000000-0004-0000-0100-000062010000}"/>
    <hyperlink ref="B376" r:id="rId356" display="https://clinicaltrials.gov/study/NCT05670197" xr:uid="{00000000-0004-0000-0100-000063010000}"/>
    <hyperlink ref="B377" r:id="rId357" display="https://clinicaltrials.gov/study/NCT05686239" xr:uid="{00000000-0004-0000-0100-000064010000}"/>
    <hyperlink ref="B378" r:id="rId358" display="https://clinicaltrials.gov/study/NCT05693935" xr:uid="{00000000-0004-0000-0100-000065010000}"/>
    <hyperlink ref="B379" r:id="rId359" display="https://clinicaltrials.gov/study/NCT05698589" xr:uid="{00000000-0004-0000-0100-000066010000}"/>
    <hyperlink ref="B380" r:id="rId360" display="https://clinicaltrials.gov/study/NCT05703412" xr:uid="{00000000-0004-0000-0100-000067010000}"/>
    <hyperlink ref="B381" r:id="rId361" display="https://clinicaltrials.gov/study/NCT05703698" xr:uid="{00000000-0004-0000-0100-000068010000}"/>
    <hyperlink ref="B382" r:id="rId362" display="https://clinicaltrials.gov/study/NCT05712928" xr:uid="{00000000-0004-0000-0100-000069010000}"/>
    <hyperlink ref="B383" r:id="rId363" display="https://clinicaltrials.gov/study/NCT05723328" xr:uid="{00000000-0004-0000-0100-00006A010000}"/>
    <hyperlink ref="B384" r:id="rId364" display="https://clinicaltrials.gov/study/NCT05724810" xr:uid="{00000000-0004-0000-0100-00006B010000}"/>
    <hyperlink ref="B385" r:id="rId365" display="https://clinicaltrials.gov/study/NCT05724953" xr:uid="{00000000-0004-0000-0100-00006C010000}"/>
    <hyperlink ref="B388" r:id="rId366" display="https://clinicaltrials.gov/study/NCT05741502" xr:uid="{00000000-0004-0000-0100-00006D010000}"/>
    <hyperlink ref="B389" r:id="rId367" display="https://clinicaltrials.gov/study/NCT05741528" xr:uid="{00000000-0004-0000-0100-00006E010000}"/>
    <hyperlink ref="B390" r:id="rId368" display="https://clinicaltrials.gov/study/NCT05742893" xr:uid="{00000000-0004-0000-0100-00006F010000}"/>
    <hyperlink ref="B391" r:id="rId369" display="https://clinicaltrials.gov/study/NCT05746455" xr:uid="{00000000-0004-0000-0100-000070010000}"/>
    <hyperlink ref="B392" r:id="rId370" display="https://clinicaltrials.gov/study/NCT05746494" xr:uid="{00000000-0004-0000-0100-000071010000}"/>
    <hyperlink ref="B393" r:id="rId371" display="https://clinicaltrials.gov/study/NCT05748990" xr:uid="{00000000-0004-0000-0100-000072010000}"/>
    <hyperlink ref="B394" r:id="rId372" display="https://clinicaltrials.gov/study/NCT05756855" xr:uid="{00000000-0004-0000-0100-000073010000}"/>
    <hyperlink ref="B397" r:id="rId373" display="https://clinicaltrials.gov/study/NCT05779241" xr:uid="{00000000-0004-0000-0100-000074010000}"/>
    <hyperlink ref="B398" r:id="rId374" display="https://clinicaltrials.gov/study/NCT05805397" xr:uid="{00000000-0004-0000-0100-000075010000}"/>
    <hyperlink ref="B399" r:id="rId375" display="https://clinicaltrials.gov/study/NCT05809401" xr:uid="{00000000-0004-0000-0100-000076010000}"/>
    <hyperlink ref="B400" r:id="rId376" display="https://clinicaltrials.gov/study/NCT05823532" xr:uid="{00000000-0004-0000-0100-000077010000}"/>
    <hyperlink ref="B402" r:id="rId377" display="https://clinicaltrials.gov/study/NCT05824117" xr:uid="{00000000-0004-0000-0100-000078010000}"/>
    <hyperlink ref="B403" r:id="rId378" display="https://clinicaltrials.gov/study/NCT05838560" xr:uid="{00000000-0004-0000-0100-000079010000}"/>
    <hyperlink ref="B404" r:id="rId379" display="https://clinicaltrials.gov/study/NCT05838625" xr:uid="{00000000-0004-0000-0100-00007A010000}"/>
    <hyperlink ref="B406" r:id="rId380" display="https://clinicaltrials.gov/study/NCT05847192" xr:uid="{00000000-0004-0000-0100-00007B010000}"/>
    <hyperlink ref="B407" r:id="rId381" display="https://clinicaltrials.gov/study/NCT05848700" xr:uid="{00000000-0004-0000-0100-00007C010000}"/>
    <hyperlink ref="B408" r:id="rId382" display="https://clinicaltrials.gov/study/NCT05859698" xr:uid="{00000000-0004-0000-0100-00007D010000}"/>
    <hyperlink ref="B409" r:id="rId383" display="https://clinicaltrials.gov/study/NCT05866328" xr:uid="{00000000-0004-0000-0100-00007E010000}"/>
    <hyperlink ref="B410" r:id="rId384" display="https://clinicaltrials.gov/study/NCT05877716" xr:uid="{00000000-0004-0000-0100-00007F010000}"/>
    <hyperlink ref="B411" r:id="rId385" display="https://clinicaltrials.gov/study/NCT05890183" xr:uid="{00000000-0004-0000-0100-000080010000}"/>
    <hyperlink ref="B412" r:id="rId386" display="https://clinicaltrials.gov/study/NCT05893862" xr:uid="{00000000-0004-0000-0100-000081010000}"/>
    <hyperlink ref="B413" r:id="rId387" display="https://clinicaltrials.gov/study/NCT05899348" xr:uid="{00000000-0004-0000-0100-000082010000}"/>
    <hyperlink ref="B414" r:id="rId388" display="https://clinicaltrials.gov/study/NCT05905003" xr:uid="{00000000-0004-0000-0100-000083010000}"/>
    <hyperlink ref="B415" r:id="rId389" display="https://clinicaltrials.gov/study/NCT05945602" xr:uid="{00000000-0004-0000-0100-000084010000}"/>
    <hyperlink ref="B416" r:id="rId390" display="https://clinicaltrials.gov/study/NCT05948111" xr:uid="{00000000-0004-0000-0100-000085010000}"/>
    <hyperlink ref="B417" r:id="rId391" display="https://clinicaltrials.gov/study/NCT05953740" xr:uid="{00000000-0004-0000-0100-000086010000}"/>
    <hyperlink ref="B418" r:id="rId392" display="https://clinicaltrials.gov/study/NCT05956327" xr:uid="{00000000-0004-0000-0100-000087010000}"/>
    <hyperlink ref="B420" r:id="rId393" display="https://clinicaltrials.gov/study/NCT05956951" xr:uid="{00000000-0004-0000-0100-000088010000}"/>
    <hyperlink ref="B421" r:id="rId394" display="https://clinicaltrials.gov/study/NCT05958875" xr:uid="{00000000-0004-0000-0100-000089010000}"/>
    <hyperlink ref="B422" r:id="rId395" display="https://clinicaltrials.gov/study/NCT05966610" xr:uid="{00000000-0004-0000-0100-00008A010000}"/>
    <hyperlink ref="B423" r:id="rId396" display="https://clinicaltrials.gov/study/NCT05968638" xr:uid="{00000000-0004-0000-0100-00008B010000}"/>
    <hyperlink ref="B424" r:id="rId397" display="https://clinicaltrials.gov/study/NCT05973110" xr:uid="{00000000-0004-0000-0100-00008C010000}"/>
    <hyperlink ref="B426" r:id="rId398" display="https://clinicaltrials.gov/study/NCT05978921" xr:uid="{00000000-0004-0000-0100-00008D010000}"/>
    <hyperlink ref="B427" r:id="rId399" display="https://clinicaltrials.gov/study/NCT05980949" xr:uid="{00000000-0004-0000-0100-00008E010000}"/>
    <hyperlink ref="B428" r:id="rId400" display="https://clinicaltrials.gov/study/NCT05995457" xr:uid="{00000000-0004-0000-0100-00008F010000}"/>
    <hyperlink ref="B429" r:id="rId401" display="https://clinicaltrials.gov/study/NCT06002958" xr:uid="{00000000-0004-0000-0100-000090010000}"/>
    <hyperlink ref="B430" r:id="rId402" display="https://clinicaltrials.gov/study/NCT06003036" xr:uid="{00000000-0004-0000-0100-000091010000}"/>
    <hyperlink ref="B431" r:id="rId403" display="https://clinicaltrials.gov/study/NCT06036108" xr:uid="{00000000-0004-0000-0100-000092010000}"/>
    <hyperlink ref="B432" r:id="rId404" display="https://clinicaltrials.gov/study/NCT06036316" xr:uid="{00000000-0004-0000-0100-000093010000}"/>
    <hyperlink ref="B433" r:id="rId405" display="https://clinicaltrials.gov/study/NCT06041646" xr:uid="{00000000-0004-0000-0100-000094010000}"/>
    <hyperlink ref="B434" r:id="rId406" display="https://clinicaltrials.gov/study/NCT06043206" xr:uid="{00000000-0004-0000-0100-000095010000}"/>
    <hyperlink ref="B436" r:id="rId407" display="https://clinicaltrials.gov/study/NCT06045897" xr:uid="{00000000-0004-0000-0100-000096010000}"/>
    <hyperlink ref="B437" r:id="rId408" display="https://clinicaltrials.gov/study/NCT06061952" xr:uid="{00000000-0004-0000-0100-000097010000}"/>
    <hyperlink ref="B438" r:id="rId409" display="https://clinicaltrials.gov/study/NCT06067984" xr:uid="{00000000-0004-0000-0100-000098010000}"/>
    <hyperlink ref="B439" r:id="rId410" display="https://clinicaltrials.gov/study/NCT06071858" xr:uid="{00000000-0004-0000-0100-000099010000}"/>
    <hyperlink ref="B440" r:id="rId411" display="https://clinicaltrials.gov/study/NCT06093451" xr:uid="{00000000-0004-0000-0100-00009A010000}"/>
    <hyperlink ref="B441" r:id="rId412" display="https://clinicaltrials.gov/study/NCT06107764" xr:uid="{00000000-0004-0000-0100-00009B010000}"/>
    <hyperlink ref="B442" r:id="rId413" display="https://clinicaltrials.gov/study/NCT06107803" xr:uid="{00000000-0004-0000-0100-00009C010000}"/>
    <hyperlink ref="B443" r:id="rId414" display="https://clinicaltrials.gov/study/NCT06118268" xr:uid="{00000000-0004-0000-0100-00009D010000}"/>
    <hyperlink ref="B444" r:id="rId415" display="https://clinicaltrials.gov/study/NCT06126224" xr:uid="{00000000-0004-0000-0100-00009E010000}"/>
    <hyperlink ref="B445" r:id="rId416" display="https://clinicaltrials.gov/study/NCT06136390" xr:uid="{00000000-0004-0000-0100-00009F010000}"/>
    <hyperlink ref="B446" r:id="rId417" display="https://clinicaltrials.gov/study/NCT06136936" xr:uid="{00000000-0004-0000-0100-0000A0010000}"/>
    <hyperlink ref="B447" r:id="rId418" display="https://clinicaltrials.gov/study/NCT06138054" xr:uid="{00000000-0004-0000-0100-0000A1010000}"/>
    <hyperlink ref="B448" r:id="rId419" display="https://clinicaltrials.gov/study/NCT06142422" xr:uid="{00000000-0004-0000-0100-0000A2010000}"/>
    <hyperlink ref="B450" r:id="rId420" display="https://clinicaltrials.gov/study/NCT06155695" xr:uid="{00000000-0004-0000-0100-0000A3010000}"/>
    <hyperlink ref="B451" r:id="rId421" display="https://clinicaltrials.gov/study/NCT06159322" xr:uid="{00000000-0004-0000-0100-0000A4010000}"/>
    <hyperlink ref="B452" r:id="rId422" display="https://clinicaltrials.gov/study/NCT06159673" xr:uid="{00000000-0004-0000-0100-0000A5010000}"/>
    <hyperlink ref="B453" r:id="rId423" display="https://clinicaltrials.gov/study/NCT06174116" xr:uid="{00000000-0004-0000-0100-0000A6010000}"/>
    <hyperlink ref="B454" r:id="rId424" display="https://clinicaltrials.gov/study/NCT06179108" xr:uid="{00000000-0004-0000-0100-0000A7010000}"/>
    <hyperlink ref="B456" r:id="rId425" display="https://clinicaltrials.gov/study/NCT06191965" xr:uid="{00000000-0004-0000-0100-0000A8010000}"/>
    <hyperlink ref="B457" r:id="rId426" display="https://clinicaltrials.gov/study/NCT06194799" xr:uid="{00000000-0004-0000-0100-0000A9010000}"/>
    <hyperlink ref="B458" r:id="rId427" display="https://clinicaltrials.gov/study/NCT06208176" xr:uid="{00000000-0004-0000-0100-0000AA010000}"/>
    <hyperlink ref="B459" r:id="rId428" display="https://clinicaltrials.gov/study/NCT06225115" xr:uid="{00000000-0004-0000-0100-0000AB010000}"/>
    <hyperlink ref="B460" r:id="rId429" display="https://clinicaltrials.gov/study/NCT06229210" xr:uid="{00000000-0004-0000-0100-0000AC010000}"/>
    <hyperlink ref="B461" r:id="rId430" display="https://clinicaltrials.gov/study/NCT06231407" xr:uid="{00000000-0004-0000-0100-0000AD010000}"/>
    <hyperlink ref="B462" r:id="rId431" display="https://clinicaltrials.gov/study/NCT06236048" xr:uid="{00000000-0004-0000-0100-0000AE010000}"/>
    <hyperlink ref="B463" r:id="rId432" display="https://clinicaltrials.gov/study/NCT06245213" xr:uid="{00000000-0004-0000-0100-0000AF010000}"/>
    <hyperlink ref="B464" r:id="rId433" display="https://clinicaltrials.gov/study/NCT06251193" xr:uid="{00000000-0004-0000-0100-0000B0010000}"/>
    <hyperlink ref="B465" r:id="rId434" display="https://clinicaltrials.gov/study/NCT06257056" xr:uid="{00000000-0004-0000-0100-0000B1010000}"/>
    <hyperlink ref="B466" r:id="rId435" display="https://clinicaltrials.gov/study/NCT06270108" xr:uid="{00000000-0004-0000-0100-0000B2010000}"/>
    <hyperlink ref="B467" r:id="rId436" display="https://clinicaltrials.gov/study/NCT06275451" xr:uid="{00000000-0004-0000-0100-0000B3010000}"/>
    <hyperlink ref="B468" r:id="rId437" display="https://clinicaltrials.gov/study/NCT06278246" xr:uid="{00000000-0004-0000-0100-0000B4010000}"/>
    <hyperlink ref="B469" r:id="rId438" display="https://clinicaltrials.gov/study/NCT06315049" xr:uid="{00000000-0004-0000-0100-0000B5010000}"/>
    <hyperlink ref="B470" r:id="rId439" display="https://clinicaltrials.gov/study/NCT06315283" xr:uid="{00000000-0004-0000-0100-0000B6010000}"/>
    <hyperlink ref="B471" r:id="rId440" display="https://clinicaltrials.gov/study/NCT06319170" xr:uid="{00000000-0004-0000-0100-0000B7010000}"/>
    <hyperlink ref="B472" r:id="rId441" display="https://clinicaltrials.gov/study/NCT06336382" xr:uid="{00000000-0004-0000-0100-0000B8010000}"/>
    <hyperlink ref="B473" r:id="rId442" display="https://clinicaltrials.gov/study/NCT06336616" xr:uid="{00000000-0004-0000-0100-0000B9010000}"/>
    <hyperlink ref="B474" r:id="rId443" display="https://clinicaltrials.gov/study/NCT06345963" xr:uid="{00000000-0004-0000-0100-0000BA010000}"/>
    <hyperlink ref="B475" r:id="rId444" display="https://clinicaltrials.gov/study/NCT06361160" xr:uid="{00000000-0004-0000-0100-0000BB010000}"/>
    <hyperlink ref="B477" r:id="rId445" display="https://clinicaltrials.gov/study/NCT06372210" xr:uid="{00000000-0004-0000-0100-0000BC010000}"/>
    <hyperlink ref="B478" r:id="rId446" display="https://clinicaltrials.gov/study/NCT06374290" xr:uid="{00000000-0004-0000-0100-0000BD010000}"/>
    <hyperlink ref="B481" r:id="rId447" display="https://clinicaltrials.gov/study/NCT06384521" xr:uid="{00000000-0004-0000-0100-0000BE010000}"/>
    <hyperlink ref="B482" r:id="rId448" display="https://clinicaltrials.gov/study/NCT06386588" xr:uid="{00000000-0004-0000-0100-0000BF010000}"/>
    <hyperlink ref="B483" r:id="rId449" display="https://clinicaltrials.gov/study/NCT06389266" xr:uid="{00000000-0004-0000-0100-0000C0010000}"/>
    <hyperlink ref="B484" r:id="rId450" display="https://clinicaltrials.gov/study/NCT06423651" xr:uid="{00000000-0004-0000-0100-0000C1010000}"/>
    <hyperlink ref="B485" r:id="rId451" display="https://clinicaltrials.gov/study/NCT06446856" xr:uid="{00000000-0004-0000-0100-0000C2010000}"/>
    <hyperlink ref="B486" r:id="rId452" display="https://clinicaltrials.gov/study/NCT06456983" xr:uid="{00000000-0004-0000-0100-0000C3010000}"/>
    <hyperlink ref="B487" r:id="rId453" display="https://clinicaltrials.gov/study/NCT06482554" xr:uid="{00000000-0004-0000-0100-0000C4010000}"/>
    <hyperlink ref="B489" r:id="rId454" display="https://clinicaltrials.gov/study/NCT06486584" xr:uid="{00000000-0004-0000-0100-0000C5010000}"/>
    <hyperlink ref="B490" r:id="rId455" display="https://clinicaltrials.gov/study/NCT06486948" xr:uid="{00000000-0004-0000-0100-0000C6010000}"/>
    <hyperlink ref="B491" r:id="rId456" display="https://clinicaltrials.gov/study/NCT06494397" xr:uid="{00000000-0004-0000-0100-0000C7010000}"/>
    <hyperlink ref="B492" r:id="rId457" display="https://clinicaltrials.gov/study/NCT06502964" xr:uid="{00000000-0004-0000-0100-0000C8010000}"/>
    <hyperlink ref="B493" r:id="rId458" display="https://clinicaltrials.gov/study/NCT06505564" xr:uid="{00000000-0004-0000-0100-0000C9010000}"/>
    <hyperlink ref="B495" r:id="rId459" display="https://clinicaltrials.gov/study/NCT06527885" xr:uid="{00000000-0004-0000-0100-0000CA010000}"/>
    <hyperlink ref="B498" r:id="rId460" display="https://pubmed.ncbi.nlm.nih.gov/29212415" xr:uid="{00000000-0004-0000-0100-0000CB010000}"/>
    <hyperlink ref="B499" r:id="rId461" display="https://pubmed.ncbi.nlm.nih.gov/29941057" xr:uid="{00000000-0004-0000-0100-0000CC010000}"/>
    <hyperlink ref="B500" r:id="rId462" display="https://pubmed.ncbi.nlm.nih.gov/30109845" xr:uid="{00000000-0004-0000-0100-0000CD010000}"/>
    <hyperlink ref="B501" r:id="rId463" display="https://pubmed.ncbi.nlm.nih.gov/30167782" xr:uid="{00000000-0004-0000-0100-0000CE010000}"/>
    <hyperlink ref="B502" r:id="rId464" display="https://pubmed.ncbi.nlm.nih.gov/30278853" xr:uid="{00000000-0004-0000-0100-0000CF010000}"/>
    <hyperlink ref="B503" r:id="rId465" display="https://pubmed.ncbi.nlm.nih.gov/30306884" xr:uid="{00000000-0004-0000-0100-0000D0010000}"/>
    <hyperlink ref="B504" r:id="rId466" display="https://pubmed.ncbi.nlm.nih.gov/30346226" xr:uid="{00000000-0004-0000-0100-0000D1010000}"/>
    <hyperlink ref="B506" r:id="rId467" display="https://pubmed.ncbi.nlm.nih.gov/30536081" xr:uid="{00000000-0004-0000-0100-0000D2010000}"/>
    <hyperlink ref="B507" r:id="rId468" display="https://pubmed.ncbi.nlm.nih.gov/30569083" xr:uid="{00000000-0004-0000-0100-0000D3010000}"/>
    <hyperlink ref="B508" r:id="rId469" display="https://pubmed.ncbi.nlm.nih.gov/30599145" xr:uid="{00000000-0004-0000-0100-0000D4010000}"/>
    <hyperlink ref="B509" r:id="rId470" display="https://pubmed.ncbi.nlm.nih.gov/30606273" xr:uid="{00000000-0004-0000-0100-0000D5010000}"/>
    <hyperlink ref="B510" r:id="rId471" display="https://pubmed.ncbi.nlm.nih.gov/30660574" xr:uid="{00000000-0004-0000-0100-0000D6010000}"/>
    <hyperlink ref="B511" r:id="rId472" display="https://pubmed.ncbi.nlm.nih.gov/30777584" xr:uid="{00000000-0004-0000-0100-0000D7010000}"/>
    <hyperlink ref="B512" r:id="rId473" display="https://pubmed.ncbi.nlm.nih.gov/30790597" xr:uid="{00000000-0004-0000-0100-0000D8010000}"/>
    <hyperlink ref="B513" r:id="rId474" display="https://pubmed.ncbi.nlm.nih.gov/30822774" xr:uid="{00000000-0004-0000-0100-0000D9010000}"/>
    <hyperlink ref="B514" r:id="rId475" display="https://pubmed.ncbi.nlm.nih.gov/30829190" xr:uid="{00000000-0004-0000-0100-0000DA010000}"/>
    <hyperlink ref="B516" r:id="rId476" display="https://pubmed.ncbi.nlm.nih.gov/30903287" xr:uid="{00000000-0004-0000-0100-0000DB010000}"/>
    <hyperlink ref="B517" r:id="rId477" display="https://pubmed.ncbi.nlm.nih.gov/30912222" xr:uid="{00000000-0004-0000-0100-0000DC010000}"/>
    <hyperlink ref="B518" r:id="rId478" display="https://pubmed.ncbi.nlm.nih.gov/30928978" xr:uid="{00000000-0004-0000-0100-0000DD010000}"/>
    <hyperlink ref="B519" r:id="rId479" display="https://pubmed.ncbi.nlm.nih.gov/30937510" xr:uid="{00000000-0004-0000-0100-0000DE010000}"/>
    <hyperlink ref="B520" r:id="rId480" display="https://pubmed.ncbi.nlm.nih.gov/30944045" xr:uid="{00000000-0004-0000-0100-0000DF010000}"/>
    <hyperlink ref="B521" r:id="rId481" display="https://pubmed.ncbi.nlm.nih.gov/30994855" xr:uid="{00000000-0004-0000-0100-0000E0010000}"/>
    <hyperlink ref="B522" r:id="rId482" display="https://pubmed.ncbi.nlm.nih.gov/31041855" xr:uid="{00000000-0004-0000-0100-0000E1010000}"/>
    <hyperlink ref="B523" r:id="rId483" display="https://pubmed.ncbi.nlm.nih.gov/31077519" xr:uid="{00000000-0004-0000-0100-0000E2010000}"/>
    <hyperlink ref="B524" r:id="rId484" display="https://pubmed.ncbi.nlm.nih.gov/31077729" xr:uid="{00000000-0004-0000-0100-0000E3010000}"/>
    <hyperlink ref="B525" r:id="rId485" display="https://pubmed.ncbi.nlm.nih.gov/31103018" xr:uid="{00000000-0004-0000-0100-0000E4010000}"/>
    <hyperlink ref="B527" r:id="rId486" display="https://pubmed.ncbi.nlm.nih.gov/31264510" xr:uid="{00000000-0004-0000-0100-0000E5010000}"/>
    <hyperlink ref="B528" r:id="rId487" display="https://pubmed.ncbi.nlm.nih.gov/31298171" xr:uid="{00000000-0004-0000-0100-0000E6010000}"/>
    <hyperlink ref="B529" r:id="rId488" display="https://pubmed.ncbi.nlm.nih.gov/31343440" xr:uid="{00000000-0004-0000-0100-0000E7010000}"/>
    <hyperlink ref="B530" r:id="rId489" display="https://pubmed.ncbi.nlm.nih.gov/31353759" xr:uid="{00000000-0004-0000-0100-0000E8010000}"/>
    <hyperlink ref="B531" r:id="rId490" display="https://pubmed.ncbi.nlm.nih.gov/31365044" xr:uid="{00000000-0004-0000-0100-0000E9010000}"/>
    <hyperlink ref="B532" r:id="rId491" display="https://pubmed.ncbi.nlm.nih.gov/31375316" xr:uid="{00000000-0004-0000-0100-0000EA010000}"/>
    <hyperlink ref="B533" r:id="rId492" display="https://pubmed.ncbi.nlm.nih.gov/31376788" xr:uid="{00000000-0004-0000-0100-0000EB010000}"/>
    <hyperlink ref="B534" r:id="rId493" display="https://pubmed.ncbi.nlm.nih.gov/31390660" xr:uid="{00000000-0004-0000-0100-0000EC010000}"/>
    <hyperlink ref="B535" r:id="rId494" display="https://pubmed.ncbi.nlm.nih.gov/31416744" xr:uid="{00000000-0004-0000-0100-0000ED010000}"/>
    <hyperlink ref="B536" r:id="rId495" display="https://pubmed.ncbi.nlm.nih.gov/31416745" xr:uid="{00000000-0004-0000-0100-0000EE010000}"/>
    <hyperlink ref="B537" r:id="rId496" display="https://pubmed.ncbi.nlm.nih.gov/31437659" xr:uid="{00000000-0004-0000-0100-0000EF010000}"/>
    <hyperlink ref="B538" r:id="rId497" display="https://pubmed.ncbi.nlm.nih.gov/31446217" xr:uid="{00000000-0004-0000-0100-0000F0010000}"/>
    <hyperlink ref="B539" r:id="rId498" display="https://pubmed.ncbi.nlm.nih.gov/31463563" xr:uid="{00000000-0004-0000-0100-0000F1010000}"/>
    <hyperlink ref="B540" r:id="rId499" display="https://pubmed.ncbi.nlm.nih.gov/31471246" xr:uid="{00000000-0004-0000-0100-0000F2010000}"/>
    <hyperlink ref="B541" r:id="rId500" display="https://pubmed.ncbi.nlm.nih.gov/31477061" xr:uid="{00000000-0004-0000-0100-0000F3010000}"/>
    <hyperlink ref="B542" r:id="rId501" display="https://pubmed.ncbi.nlm.nih.gov/31481703" xr:uid="{00000000-0004-0000-0100-0000F4010000}"/>
    <hyperlink ref="B543" r:id="rId502" display="https://pubmed.ncbi.nlm.nih.gov/31486890" xr:uid="{00000000-0004-0000-0100-0000F5010000}"/>
    <hyperlink ref="B544" r:id="rId503" display="https://pubmed.ncbi.nlm.nih.gov/31487208" xr:uid="{00000000-0004-0000-0100-0000F6010000}"/>
    <hyperlink ref="B545" r:id="rId504" display="https://pubmed.ncbi.nlm.nih.gov/31494376" xr:uid="{00000000-0004-0000-0100-0000F7010000}"/>
    <hyperlink ref="B546" r:id="rId505" display="https://pubmed.ncbi.nlm.nih.gov/31520149" xr:uid="{00000000-0004-0000-0100-0000F8010000}"/>
    <hyperlink ref="B547" r:id="rId506" display="https://pubmed.ncbi.nlm.nih.gov/31565796" xr:uid="{00000000-0004-0000-0100-0000F9010000}"/>
    <hyperlink ref="B549" r:id="rId507" display="https://pubmed.ncbi.nlm.nih.gov/31595302" xr:uid="{00000000-0004-0000-0100-0000FA010000}"/>
    <hyperlink ref="B550" r:id="rId508" display="https://pubmed.ncbi.nlm.nih.gov/31617138" xr:uid="{00000000-0004-0000-0100-0000FB010000}"/>
    <hyperlink ref="B551" r:id="rId509" display="https://pubmed.ncbi.nlm.nih.gov/31617873" xr:uid="{00000000-0004-0000-0100-0000FC010000}"/>
    <hyperlink ref="B552" r:id="rId510" display="https://pubmed.ncbi.nlm.nih.gov/31633254" xr:uid="{00000000-0004-0000-0100-0000FD010000}"/>
    <hyperlink ref="B553" r:id="rId511" display="https://pubmed.ncbi.nlm.nih.gov/31634752" xr:uid="{00000000-0004-0000-0100-0000FE010000}"/>
    <hyperlink ref="B554" r:id="rId512" display="https://pubmed.ncbi.nlm.nih.gov/31641831" xr:uid="{00000000-0004-0000-0100-0000FF010000}"/>
    <hyperlink ref="B555" r:id="rId513" display="https://pubmed.ncbi.nlm.nih.gov/31642084" xr:uid="{00000000-0004-0000-0100-000000020000}"/>
    <hyperlink ref="B556" r:id="rId514" display="https://pubmed.ncbi.nlm.nih.gov/31648842" xr:uid="{00000000-0004-0000-0100-000001020000}"/>
    <hyperlink ref="B557" r:id="rId515" display="https://pubmed.ncbi.nlm.nih.gov/31651213" xr:uid="{00000000-0004-0000-0100-000002020000}"/>
    <hyperlink ref="B558" r:id="rId516" display="https://pubmed.ncbi.nlm.nih.gov/31652166" xr:uid="{00000000-0004-0000-0100-000003020000}"/>
    <hyperlink ref="B559" r:id="rId517" display="https://pubmed.ncbi.nlm.nih.gov/31672387" xr:uid="{00000000-0004-0000-0100-000004020000}"/>
    <hyperlink ref="B560" r:id="rId518" display="https://pubmed.ncbi.nlm.nih.gov/31678957" xr:uid="{00000000-0004-0000-0100-000005020000}"/>
    <hyperlink ref="B561" r:id="rId519" display="https://pubmed.ncbi.nlm.nih.gov/31685285" xr:uid="{00000000-0004-0000-0100-000006020000}"/>
    <hyperlink ref="B562" r:id="rId520" display="https://pubmed.ncbi.nlm.nih.gov/31688449" xr:uid="{00000000-0004-0000-0100-000007020000}"/>
    <hyperlink ref="B563" r:id="rId521" display="https://pubmed.ncbi.nlm.nih.gov/31688451" xr:uid="{00000000-0004-0000-0100-000008020000}"/>
    <hyperlink ref="B565" r:id="rId522" display="https://pubmed.ncbi.nlm.nih.gov/31707749" xr:uid="{00000000-0004-0000-0100-000009020000}"/>
    <hyperlink ref="B567" r:id="rId523" display="https://pubmed.ncbi.nlm.nih.gov/31711448" xr:uid="{00000000-0004-0000-0100-00000A020000}"/>
    <hyperlink ref="B568" r:id="rId524" display="https://pubmed.ncbi.nlm.nih.gov/31712617" xr:uid="{00000000-0004-0000-0100-00000B020000}"/>
    <hyperlink ref="B569" r:id="rId525" display="https://pubmed.ncbi.nlm.nih.gov/31722694" xr:uid="{00000000-0004-0000-0100-00000C020000}"/>
    <hyperlink ref="B570" r:id="rId526" display="https://pubmed.ncbi.nlm.nih.gov/31728631" xr:uid="{00000000-0004-0000-0100-00000D020000}"/>
    <hyperlink ref="B571" r:id="rId527" display="https://pubmed.ncbi.nlm.nih.gov/31744146" xr:uid="{00000000-0004-0000-0100-00000E020000}"/>
    <hyperlink ref="B572" r:id="rId528" display="https://pubmed.ncbi.nlm.nih.gov/31747930" xr:uid="{00000000-0004-0000-0100-00000F020000}"/>
    <hyperlink ref="B573" r:id="rId529" display="https://pubmed.ncbi.nlm.nih.gov/31752799" xr:uid="{00000000-0004-0000-0100-000010020000}"/>
    <hyperlink ref="B574" r:id="rId530" display="https://pubmed.ncbi.nlm.nih.gov/31759809" xr:uid="{00000000-0004-0000-0100-000011020000}"/>
    <hyperlink ref="B575" r:id="rId531" display="https://pubmed.ncbi.nlm.nih.gov/31762390" xr:uid="{00000000-0004-0000-0100-000012020000}"/>
    <hyperlink ref="B576" r:id="rId532" display="https://pubmed.ncbi.nlm.nih.gov/31780589" xr:uid="{00000000-0004-0000-0100-000013020000}"/>
    <hyperlink ref="B577" r:id="rId533" display="https://pubmed.ncbi.nlm.nih.gov/31786651" xr:uid="{00000000-0004-0000-0100-000014020000}"/>
    <hyperlink ref="B578" r:id="rId534" display="https://pubmed.ncbi.nlm.nih.gov/31788985" xr:uid="{00000000-0004-0000-0100-000015020000}"/>
    <hyperlink ref="B579" r:id="rId535" display="https://pubmed.ncbi.nlm.nih.gov/31825973" xr:uid="{00000000-0004-0000-0100-000016020000}"/>
    <hyperlink ref="B580" r:id="rId536" display="https://pubmed.ncbi.nlm.nih.gov/31831201" xr:uid="{00000000-0004-0000-0100-000017020000}"/>
    <hyperlink ref="B582" r:id="rId537" display="https://pubmed.ncbi.nlm.nih.gov/31836507" xr:uid="{00000000-0004-0000-0100-000018020000}"/>
    <hyperlink ref="B583" r:id="rId538" display="https://pubmed.ncbi.nlm.nih.gov/31837056" xr:uid="{00000000-0004-0000-0100-000019020000}"/>
    <hyperlink ref="B584" r:id="rId539" display="https://pubmed.ncbi.nlm.nih.gov/31837113" xr:uid="{00000000-0004-0000-0100-00001A020000}"/>
    <hyperlink ref="B585" r:id="rId540" display="https://pubmed.ncbi.nlm.nih.gov/31847007" xr:uid="{00000000-0004-0000-0100-00001B020000}"/>
    <hyperlink ref="B586" r:id="rId541" display="https://pubmed.ncbi.nlm.nih.gov/31876117" xr:uid="{00000000-0004-0000-0100-00001C020000}"/>
    <hyperlink ref="B587" r:id="rId542" display="https://pubmed.ncbi.nlm.nih.gov/31881954" xr:uid="{00000000-0004-0000-0100-00001D020000}"/>
    <hyperlink ref="B588" r:id="rId543" display="https://pubmed.ncbi.nlm.nih.gov/31883082" xr:uid="{00000000-0004-0000-0100-00001E020000}"/>
    <hyperlink ref="B589" r:id="rId544" display="https://pubmed.ncbi.nlm.nih.gov/31913424" xr:uid="{00000000-0004-0000-0100-00001F020000}"/>
    <hyperlink ref="B590" r:id="rId545" display="https://pubmed.ncbi.nlm.nih.gov/31927311" xr:uid="{00000000-0004-0000-0100-000020020000}"/>
    <hyperlink ref="B591" r:id="rId546" display="https://pubmed.ncbi.nlm.nih.gov/31954541" xr:uid="{00000000-0004-0000-0100-000021020000}"/>
    <hyperlink ref="B592" r:id="rId547" display="https://pubmed.ncbi.nlm.nih.gov/31973997" xr:uid="{00000000-0004-0000-0100-000022020000}"/>
    <hyperlink ref="B593" r:id="rId548" display="https://pubmed.ncbi.nlm.nih.gov/31996174" xr:uid="{00000000-0004-0000-0100-000023020000}"/>
    <hyperlink ref="B594" r:id="rId549" display="https://pubmed.ncbi.nlm.nih.gov/32007346" xr:uid="{00000000-0004-0000-0100-000024020000}"/>
    <hyperlink ref="B595" r:id="rId550" display="https://pubmed.ncbi.nlm.nih.gov/32015461" xr:uid="{00000000-0004-0000-0100-000025020000}"/>
    <hyperlink ref="B596" r:id="rId551" display="https://pubmed.ncbi.nlm.nih.gov/32036587" xr:uid="{00000000-0004-0000-0100-000026020000}"/>
    <hyperlink ref="B597" r:id="rId552" display="https://pubmed.ncbi.nlm.nih.gov/32052567" xr:uid="{00000000-0004-0000-0100-000027020000}"/>
    <hyperlink ref="B598" r:id="rId553" display="https://pubmed.ncbi.nlm.nih.gov/32062728" xr:uid="{00000000-0004-0000-0100-000028020000}"/>
    <hyperlink ref="B599" r:id="rId554" display="https://pubmed.ncbi.nlm.nih.gov/32068895" xr:uid="{00000000-0004-0000-0100-000029020000}"/>
    <hyperlink ref="B600" r:id="rId555" display="https://pubmed.ncbi.nlm.nih.gov/32098946" xr:uid="{00000000-0004-0000-0100-00002A020000}"/>
    <hyperlink ref="B601" r:id="rId556" display="https://pubmed.ncbi.nlm.nih.gov/32107101" xr:uid="{00000000-0004-0000-0100-00002B020000}"/>
    <hyperlink ref="B602" r:id="rId557" display="https://pubmed.ncbi.nlm.nih.gov/32122230" xr:uid="{00000000-0004-0000-0100-00002C020000}"/>
    <hyperlink ref="B603" r:id="rId558" display="https://pubmed.ncbi.nlm.nih.gov/32141723" xr:uid="{00000000-0004-0000-0100-00002D020000}"/>
    <hyperlink ref="B604" r:id="rId559" display="https://pubmed.ncbi.nlm.nih.gov/32141724" xr:uid="{00000000-0004-0000-0100-00002E020000}"/>
    <hyperlink ref="B605" r:id="rId560" display="https://pubmed.ncbi.nlm.nih.gov/32160422" xr:uid="{00000000-0004-0000-0100-00002F020000}"/>
    <hyperlink ref="B606" r:id="rId561" display="https://pubmed.ncbi.nlm.nih.gov/32169403" xr:uid="{00000000-0004-0000-0100-000030020000}"/>
    <hyperlink ref="B607" r:id="rId562" display="https://pubmed.ncbi.nlm.nih.gov/32180369" xr:uid="{00000000-0004-0000-0100-000031020000}"/>
    <hyperlink ref="B609" r:id="rId563" display="https://pubmed.ncbi.nlm.nih.gov/32220153" xr:uid="{00000000-0004-0000-0100-000032020000}"/>
    <hyperlink ref="B610" r:id="rId564" display="https://pubmed.ncbi.nlm.nih.gov/32237292" xr:uid="{00000000-0004-0000-0100-000033020000}"/>
    <hyperlink ref="B611" r:id="rId565" display="https://pubmed.ncbi.nlm.nih.gov/32239365" xr:uid="{00000000-0004-0000-0100-000034020000}"/>
    <hyperlink ref="B612" r:id="rId566" display="https://pubmed.ncbi.nlm.nih.gov/32250132" xr:uid="{00000000-0004-0000-0100-000035020000}"/>
    <hyperlink ref="B613" r:id="rId567" display="https://pubmed.ncbi.nlm.nih.gov/32276953" xr:uid="{00000000-0004-0000-0100-000036020000}"/>
    <hyperlink ref="B615" r:id="rId568" display="https://pubmed.ncbi.nlm.nih.gov/32294346" xr:uid="{00000000-0004-0000-0100-000037020000}"/>
    <hyperlink ref="B616" r:id="rId569" display="https://pubmed.ncbi.nlm.nih.gov/32297486" xr:uid="{00000000-0004-0000-0100-000038020000}"/>
    <hyperlink ref="B617" r:id="rId570" display="https://pubmed.ncbi.nlm.nih.gov/32332459" xr:uid="{00000000-0004-0000-0100-000039020000}"/>
    <hyperlink ref="B618" r:id="rId571" display="https://pubmed.ncbi.nlm.nih.gov/32332475" xr:uid="{00000000-0004-0000-0100-00003A020000}"/>
    <hyperlink ref="B619" r:id="rId572" display="https://pubmed.ncbi.nlm.nih.gov/32340927" xr:uid="{00000000-0004-0000-0100-00003B020000}"/>
    <hyperlink ref="B620" r:id="rId573" display="https://pubmed.ncbi.nlm.nih.gov/32349117" xr:uid="{00000000-0004-0000-0100-00003C020000}"/>
    <hyperlink ref="B621" r:id="rId574" display="https://pubmed.ncbi.nlm.nih.gov/32349835" xr:uid="{00000000-0004-0000-0100-00003D020000}"/>
    <hyperlink ref="B622" r:id="rId575" display="https://pubmed.ncbi.nlm.nih.gov/32354661" xr:uid="{00000000-0004-0000-0100-00003E020000}"/>
    <hyperlink ref="B623" r:id="rId576" display="https://pubmed.ncbi.nlm.nih.gov/32393412" xr:uid="{00000000-0004-0000-0100-00003F020000}"/>
    <hyperlink ref="B624" r:id="rId577" display="https://pubmed.ncbi.nlm.nih.gov/32401072" xr:uid="{00000000-0004-0000-0100-000040020000}"/>
    <hyperlink ref="B625" r:id="rId578" display="https://pubmed.ncbi.nlm.nih.gov/32403118" xr:uid="{00000000-0004-0000-0100-000041020000}"/>
    <hyperlink ref="B626" r:id="rId579" display="https://pubmed.ncbi.nlm.nih.gov/32433835" xr:uid="{00000000-0004-0000-0100-000042020000}"/>
    <hyperlink ref="B627" r:id="rId580" display="https://pubmed.ncbi.nlm.nih.gov/32448677" xr:uid="{00000000-0004-0000-0100-000043020000}"/>
    <hyperlink ref="B628" r:id="rId581" display="https://pubmed.ncbi.nlm.nih.gov/32450497" xr:uid="{00000000-0004-0000-0100-000044020000}"/>
    <hyperlink ref="B629" r:id="rId582" display="https://pubmed.ncbi.nlm.nih.gov/32458107" xr:uid="{00000000-0004-0000-0100-000045020000}"/>
    <hyperlink ref="B630" r:id="rId583" display="https://pubmed.ncbi.nlm.nih.gov/32483253" xr:uid="{00000000-0004-0000-0100-000046020000}"/>
    <hyperlink ref="B631" r:id="rId584" display="https://pubmed.ncbi.nlm.nih.gov/32513424" xr:uid="{00000000-0004-0000-0100-000047020000}"/>
    <hyperlink ref="B632" r:id="rId585" display="https://pubmed.ncbi.nlm.nih.gov/32519208" xr:uid="{00000000-0004-0000-0100-000048020000}"/>
    <hyperlink ref="B633" r:id="rId586" display="https://pubmed.ncbi.nlm.nih.gov/32539907" xr:uid="{00000000-0004-0000-0100-000049020000}"/>
    <hyperlink ref="B634" r:id="rId587" display="https://pubmed.ncbi.nlm.nih.gov/32606055" xr:uid="{00000000-0004-0000-0100-00004A020000}"/>
    <hyperlink ref="B635" r:id="rId588" display="https://pubmed.ncbi.nlm.nih.gov/32613525" xr:uid="{00000000-0004-0000-0100-00004B020000}"/>
    <hyperlink ref="B636" r:id="rId589" display="https://pubmed.ncbi.nlm.nih.gov/32614046" xr:uid="{00000000-0004-0000-0100-00004C020000}"/>
    <hyperlink ref="B637" r:id="rId590" display="https://pubmed.ncbi.nlm.nih.gov/32633541" xr:uid="{00000000-0004-0000-0100-00004D020000}"/>
    <hyperlink ref="B638" r:id="rId591" display="https://pubmed.ncbi.nlm.nih.gov/32639291" xr:uid="{00000000-0004-0000-0100-00004E020000}"/>
    <hyperlink ref="B639" r:id="rId592" display="https://pubmed.ncbi.nlm.nih.gov/32648810" xr:uid="{00000000-0004-0000-0100-00004F020000}"/>
    <hyperlink ref="B640" r:id="rId593" display="https://pubmed.ncbi.nlm.nih.gov/32667636" xr:uid="{00000000-0004-0000-0100-000050020000}"/>
    <hyperlink ref="B641" r:id="rId594" display="https://pubmed.ncbi.nlm.nih.gov/32679400" xr:uid="{00000000-0004-0000-0100-000051020000}"/>
    <hyperlink ref="B642" r:id="rId595" display="https://pubmed.ncbi.nlm.nih.gov/32686552" xr:uid="{00000000-0004-0000-0100-000052020000}"/>
    <hyperlink ref="B643" r:id="rId596" display="https://pubmed.ncbi.nlm.nih.gov/32693320" xr:uid="{00000000-0004-0000-0100-000053020000}"/>
    <hyperlink ref="B645" r:id="rId597" display="https://pubmed.ncbi.nlm.nih.gov/32748261" xr:uid="{00000000-0004-0000-0100-000054020000}"/>
    <hyperlink ref="B646" r:id="rId598" display="https://pubmed.ncbi.nlm.nih.gov/32750572" xr:uid="{00000000-0004-0000-0100-000055020000}"/>
    <hyperlink ref="B647" r:id="rId599" display="https://pubmed.ncbi.nlm.nih.gov/32763112" xr:uid="{00000000-0004-0000-0100-000056020000}"/>
    <hyperlink ref="B648" r:id="rId600" display="https://pubmed.ncbi.nlm.nih.gov/32790451" xr:uid="{00000000-0004-0000-0100-000057020000}"/>
    <hyperlink ref="B649" r:id="rId601" display="https://pubmed.ncbi.nlm.nih.gov/32791894" xr:uid="{00000000-0004-0000-0100-000058020000}"/>
    <hyperlink ref="B650" r:id="rId602" display="https://pubmed.ncbi.nlm.nih.gov/32796391" xr:uid="{00000000-0004-0000-0100-000059020000}"/>
    <hyperlink ref="B651" r:id="rId603" display="https://pubmed.ncbi.nlm.nih.gov/32841554" xr:uid="{00000000-0004-0000-0100-00005A020000}"/>
    <hyperlink ref="B652" r:id="rId604" display="https://pubmed.ncbi.nlm.nih.gov/32846328" xr:uid="{00000000-0004-0000-0100-00005B020000}"/>
    <hyperlink ref="B653" r:id="rId605" display="https://pubmed.ncbi.nlm.nih.gov/32854568" xr:uid="{00000000-0004-0000-0100-00005C020000}"/>
    <hyperlink ref="B654" r:id="rId606" display="https://pubmed.ncbi.nlm.nih.gov/32868522" xr:uid="{00000000-0004-0000-0100-00005D020000}"/>
    <hyperlink ref="B655" r:id="rId607" display="https://pubmed.ncbi.nlm.nih.gov/32893328" xr:uid="{00000000-0004-0000-0100-00005E020000}"/>
    <hyperlink ref="B656" r:id="rId608" display="https://pubmed.ncbi.nlm.nih.gov/32919407" xr:uid="{00000000-0004-0000-0100-00005F020000}"/>
    <hyperlink ref="B657" r:id="rId609" display="https://pubmed.ncbi.nlm.nih.gov/32920492" xr:uid="{00000000-0004-0000-0100-000060020000}"/>
    <hyperlink ref="B659" r:id="rId610" display="https://pubmed.ncbi.nlm.nih.gov/32930011" xr:uid="{00000000-0004-0000-0100-000061020000}"/>
    <hyperlink ref="B660" r:id="rId611" display="https://pubmed.ncbi.nlm.nih.gov/32936897" xr:uid="{00000000-0004-0000-0100-000062020000}"/>
    <hyperlink ref="B661" r:id="rId612" display="https://pubmed.ncbi.nlm.nih.gov/32943079" xr:uid="{00000000-0004-0000-0100-000063020000}"/>
    <hyperlink ref="B662" r:id="rId613" display="https://pubmed.ncbi.nlm.nih.gov/32945774" xr:uid="{00000000-0004-0000-0100-000064020000}"/>
    <hyperlink ref="B663" r:id="rId614" display="https://pubmed.ncbi.nlm.nih.gov/32961542" xr:uid="{00000000-0004-0000-0100-000065020000}"/>
    <hyperlink ref="B665" r:id="rId615" display="https://pubmed.ncbi.nlm.nih.gov/32981534" xr:uid="{00000000-0004-0000-0100-000066020000}"/>
    <hyperlink ref="B666" r:id="rId616" display="https://pubmed.ncbi.nlm.nih.gov/33002684" xr:uid="{00000000-0004-0000-0100-000067020000}"/>
    <hyperlink ref="B667" r:id="rId617" display="https://pubmed.ncbi.nlm.nih.gov/33009905" xr:uid="{00000000-0004-0000-0100-000068020000}"/>
    <hyperlink ref="B668" r:id="rId618" display="https://pubmed.ncbi.nlm.nih.gov/33077012" xr:uid="{00000000-0004-0000-0100-000069020000}"/>
    <hyperlink ref="B669" r:id="rId619" display="https://pubmed.ncbi.nlm.nih.gov/33087170" xr:uid="{00000000-0004-0000-0100-00006A020000}"/>
    <hyperlink ref="B670" r:id="rId620" display="https://pubmed.ncbi.nlm.nih.gov/33108030" xr:uid="{00000000-0004-0000-0100-00006B020000}"/>
    <hyperlink ref="B671" r:id="rId621" display="https://pubmed.ncbi.nlm.nih.gov/33113211" xr:uid="{00000000-0004-0000-0100-00006C020000}"/>
    <hyperlink ref="B672" r:id="rId622" display="https://pubmed.ncbi.nlm.nih.gov/33138708" xr:uid="{00000000-0004-0000-0100-00006D020000}"/>
    <hyperlink ref="B673" r:id="rId623" display="https://pubmed.ncbi.nlm.nih.gov/33141785" xr:uid="{00000000-0004-0000-0100-00006E020000}"/>
    <hyperlink ref="B674" r:id="rId624" display="https://pubmed.ncbi.nlm.nih.gov/33161162" xr:uid="{00000000-0004-0000-0100-00006F020000}"/>
    <hyperlink ref="B675" r:id="rId625" display="https://pubmed.ncbi.nlm.nih.gov/33183362" xr:uid="{00000000-0004-0000-0100-000070020000}"/>
    <hyperlink ref="B676" r:id="rId626" display="https://pubmed.ncbi.nlm.nih.gov/33203954" xr:uid="{00000000-0004-0000-0100-000071020000}"/>
    <hyperlink ref="B677" r:id="rId627" display="https://pubmed.ncbi.nlm.nih.gov/33208710" xr:uid="{00000000-0004-0000-0100-000072020000}"/>
    <hyperlink ref="B678" r:id="rId628" display="https://pubmed.ncbi.nlm.nih.gov/33210279" xr:uid="{00000000-0004-0000-0100-000073020000}"/>
    <hyperlink ref="B679" r:id="rId629" display="https://pubmed.ncbi.nlm.nih.gov/33222210" xr:uid="{00000000-0004-0000-0100-000074020000}"/>
    <hyperlink ref="B680" r:id="rId630" display="https://pubmed.ncbi.nlm.nih.gov/33223272" xr:uid="{00000000-0004-0000-0100-000075020000}"/>
    <hyperlink ref="B681" r:id="rId631" display="https://pubmed.ncbi.nlm.nih.gov/33230190" xr:uid="{00000000-0004-0000-0100-000076020000}"/>
    <hyperlink ref="B682" r:id="rId632" display="https://pubmed.ncbi.nlm.nih.gov/33258788" xr:uid="{00000000-0004-0000-0100-000077020000}"/>
    <hyperlink ref="B683" r:id="rId633" display="https://pubmed.ncbi.nlm.nih.gov/33272766" xr:uid="{00000000-0004-0000-0100-000078020000}"/>
    <hyperlink ref="B684" r:id="rId634" display="https://pubmed.ncbi.nlm.nih.gov/33279374" xr:uid="{00000000-0004-0000-0100-000079020000}"/>
    <hyperlink ref="B685" r:id="rId635" display="https://pubmed.ncbi.nlm.nih.gov/33290939" xr:uid="{00000000-0004-0000-0100-00007A020000}"/>
    <hyperlink ref="B686" r:id="rId636" display="https://pubmed.ncbi.nlm.nih.gov/33292873" xr:uid="{00000000-0004-0000-0100-00007B020000}"/>
    <hyperlink ref="B687" r:id="rId637" display="https://pubmed.ncbi.nlm.nih.gov/33326711" xr:uid="{00000000-0004-0000-0100-00007C020000}"/>
    <hyperlink ref="B688" r:id="rId638" display="https://pubmed.ncbi.nlm.nih.gov/33340522" xr:uid="{00000000-0004-0000-0100-00007D020000}"/>
    <hyperlink ref="B689" r:id="rId639" display="https://pubmed.ncbi.nlm.nih.gov/33347024" xr:uid="{00000000-0004-0000-0100-00007E020000}"/>
    <hyperlink ref="B690" r:id="rId640" display="https://pubmed.ncbi.nlm.nih.gov/33389108" xr:uid="{00000000-0004-0000-0100-00007F020000}"/>
    <hyperlink ref="B691" r:id="rId641" display="https://pubmed.ncbi.nlm.nih.gov/33434727" xr:uid="{00000000-0004-0000-0100-000080020000}"/>
    <hyperlink ref="B692" r:id="rId642" display="https://pubmed.ncbi.nlm.nih.gov/33434958" xr:uid="{00000000-0004-0000-0100-000081020000}"/>
    <hyperlink ref="B693" r:id="rId643" display="https://pubmed.ncbi.nlm.nih.gov/33479775" xr:uid="{00000000-0004-0000-0100-000082020000}"/>
    <hyperlink ref="B694" r:id="rId644" display="https://pubmed.ncbi.nlm.nih.gov/33484269" xr:uid="{00000000-0004-0000-0100-000083020000}"/>
    <hyperlink ref="B695" r:id="rId645" display="https://pubmed.ncbi.nlm.nih.gov/33551284" xr:uid="{00000000-0004-0000-0100-000084020000}"/>
    <hyperlink ref="B696" r:id="rId646" display="https://pubmed.ncbi.nlm.nih.gov/33587397" xr:uid="{00000000-0004-0000-0100-000085020000}"/>
    <hyperlink ref="B697" r:id="rId647" display="https://pubmed.ncbi.nlm.nih.gov/33587401" xr:uid="{00000000-0004-0000-0100-000086020000}"/>
    <hyperlink ref="B698" r:id="rId648" display="https://pubmed.ncbi.nlm.nih.gov/33603385" xr:uid="{00000000-0004-0000-0100-000087020000}"/>
    <hyperlink ref="B699" r:id="rId649" display="https://pubmed.ncbi.nlm.nih.gov/33608711" xr:uid="{00000000-0004-0000-0100-000088020000}"/>
    <hyperlink ref="B700" r:id="rId650" display="https://pubmed.ncbi.nlm.nih.gov/33610228" xr:uid="{00000000-0004-0000-0100-000089020000}"/>
    <hyperlink ref="B701" r:id="rId651" display="https://pubmed.ncbi.nlm.nih.gov/33626254" xr:uid="{00000000-0004-0000-0100-00008A020000}"/>
    <hyperlink ref="B702" r:id="rId652" display="https://pubmed.ncbi.nlm.nih.gov/33630646" xr:uid="{00000000-0004-0000-0100-00008B020000}"/>
    <hyperlink ref="B703" r:id="rId653" display="https://pubmed.ncbi.nlm.nih.gov/33711681" xr:uid="{00000000-0004-0000-0100-00008C020000}"/>
    <hyperlink ref="B704" r:id="rId654" display="https://pubmed.ncbi.nlm.nih.gov/33711781" xr:uid="{00000000-0004-0000-0100-00008D020000}"/>
    <hyperlink ref="B705" r:id="rId655" display="https://pubmed.ncbi.nlm.nih.gov/33735740" xr:uid="{00000000-0004-0000-0100-00008E020000}"/>
    <hyperlink ref="B706" r:id="rId656" display="https://pubmed.ncbi.nlm.nih.gov/33753755" xr:uid="{00000000-0004-0000-0100-00008F020000}"/>
    <hyperlink ref="B707" r:id="rId657" display="https://pubmed.ncbi.nlm.nih.gov/33783399" xr:uid="{00000000-0004-0000-0100-000090020000}"/>
    <hyperlink ref="B708" r:id="rId658" display="https://pubmed.ncbi.nlm.nih.gov/33814546" xr:uid="{00000000-0004-0000-0100-000091020000}"/>
    <hyperlink ref="B709" r:id="rId659" display="https://pubmed.ncbi.nlm.nih.gov/33839372" xr:uid="{00000000-0004-0000-0100-000092020000}"/>
    <hyperlink ref="B710" r:id="rId660" display="https://pubmed.ncbi.nlm.nih.gov/33849683" xr:uid="{00000000-0004-0000-0100-000093020000}"/>
    <hyperlink ref="B711" r:id="rId661" display="https://pubmed.ncbi.nlm.nih.gov/33853701" xr:uid="{00000000-0004-0000-0100-000094020000}"/>
    <hyperlink ref="B712" r:id="rId662" display="https://pubmed.ncbi.nlm.nih.gov/33854039" xr:uid="{00000000-0004-0000-0100-000095020000}"/>
    <hyperlink ref="B713" r:id="rId663" display="https://pubmed.ncbi.nlm.nih.gov/33857028" xr:uid="{00000000-0004-0000-0100-000096020000}"/>
    <hyperlink ref="B714" r:id="rId664" display="https://pubmed.ncbi.nlm.nih.gov/33858488" xr:uid="{00000000-0004-0000-0100-000097020000}"/>
    <hyperlink ref="B715" r:id="rId665" display="https://pubmed.ncbi.nlm.nih.gov/33894334" xr:uid="{00000000-0004-0000-0100-000098020000}"/>
    <hyperlink ref="B716" r:id="rId666" display="https://pubmed.ncbi.nlm.nih.gov/33895598" xr:uid="{00000000-0004-0000-0100-000099020000}"/>
    <hyperlink ref="B717" r:id="rId667" display="https://pubmed.ncbi.nlm.nih.gov/33902519" xr:uid="{00000000-0004-0000-0100-00009A020000}"/>
    <hyperlink ref="B718" r:id="rId668" display="https://pubmed.ncbi.nlm.nih.gov/33908296" xr:uid="{00000000-0004-0000-0100-00009B020000}"/>
    <hyperlink ref="B719" r:id="rId669" display="https://pubmed.ncbi.nlm.nih.gov/33961863" xr:uid="{00000000-0004-0000-0100-00009C020000}"/>
    <hyperlink ref="B720" r:id="rId670" display="https://pubmed.ncbi.nlm.nih.gov/33962354" xr:uid="{00000000-0004-0000-0100-00009D020000}"/>
    <hyperlink ref="B721" r:id="rId671" display="https://pubmed.ncbi.nlm.nih.gov/33963227" xr:uid="{00000000-0004-0000-0100-00009E020000}"/>
    <hyperlink ref="B722" r:id="rId672" display="https://pubmed.ncbi.nlm.nih.gov/33966678" xr:uid="{00000000-0004-0000-0100-00009F020000}"/>
    <hyperlink ref="B723" r:id="rId673" display="https://pubmed.ncbi.nlm.nih.gov/33988924" xr:uid="{00000000-0004-0000-0100-0000A0020000}"/>
    <hyperlink ref="B724" r:id="rId674" display="https://pubmed.ncbi.nlm.nih.gov/33998142" xr:uid="{00000000-0004-0000-0100-0000A1020000}"/>
    <hyperlink ref="B725" r:id="rId675" display="https://pubmed.ncbi.nlm.nih.gov/34015555" xr:uid="{00000000-0004-0000-0100-0000A2020000}"/>
    <hyperlink ref="B726" r:id="rId676" display="https://pubmed.ncbi.nlm.nih.gov/34015556" xr:uid="{00000000-0004-0000-0100-0000A3020000}"/>
    <hyperlink ref="B728" r:id="rId677" display="https://pubmed.ncbi.nlm.nih.gov/34112279" xr:uid="{00000000-0004-0000-0100-0000A4020000}"/>
    <hyperlink ref="B729" r:id="rId678" display="https://pubmed.ncbi.nlm.nih.gov/34126426" xr:uid="{00000000-0004-0000-0100-0000A5020000}"/>
    <hyperlink ref="B730" r:id="rId679" display="https://pubmed.ncbi.nlm.nih.gov/34170518" xr:uid="{00000000-0004-0000-0100-0000A6020000}"/>
    <hyperlink ref="B731" r:id="rId680" display="https://pubmed.ncbi.nlm.nih.gov/34187420" xr:uid="{00000000-0004-0000-0100-0000A7020000}"/>
    <hyperlink ref="B732" r:id="rId681" display="https://pubmed.ncbi.nlm.nih.gov/34242396" xr:uid="{00000000-0004-0000-0100-0000A8020000}"/>
    <hyperlink ref="B733" r:id="rId682" display="https://pubmed.ncbi.nlm.nih.gov/34258833" xr:uid="{00000000-0004-0000-0100-0000A9020000}"/>
    <hyperlink ref="B734" r:id="rId683" display="https://pubmed.ncbi.nlm.nih.gov/34261408" xr:uid="{00000000-0004-0000-0100-0000AA020000}"/>
    <hyperlink ref="B735" r:id="rId684" display="https://pubmed.ncbi.nlm.nih.gov/34270620" xr:uid="{00000000-0004-0000-0100-0000AB020000}"/>
    <hyperlink ref="B736" r:id="rId685" display="https://pubmed.ncbi.nlm.nih.gov/34289275" xr:uid="{00000000-0004-0000-0100-0000AC020000}"/>
    <hyperlink ref="B737" r:id="rId686" display="https://pubmed.ncbi.nlm.nih.gov/34301454" xr:uid="{00000000-0004-0000-0100-0000AD020000}"/>
    <hyperlink ref="B738" r:id="rId687" display="https://pubmed.ncbi.nlm.nih.gov/34304146" xr:uid="{00000000-0004-0000-0100-0000AE020000}"/>
    <hyperlink ref="B739" r:id="rId688" display="https://pubmed.ncbi.nlm.nih.gov/34309576" xr:uid="{00000000-0004-0000-0100-0000AF020000}"/>
    <hyperlink ref="B740" r:id="rId689" display="https://pubmed.ncbi.nlm.nih.gov/34332374" xr:uid="{00000000-0004-0000-0100-0000B0020000}"/>
    <hyperlink ref="B741" r:id="rId690" display="https://pubmed.ncbi.nlm.nih.gov/34332429" xr:uid="{00000000-0004-0000-0100-0000B1020000}"/>
    <hyperlink ref="B742" r:id="rId691" display="https://pubmed.ncbi.nlm.nih.gov/34404290" xr:uid="{00000000-0004-0000-0100-0000B2020000}"/>
    <hyperlink ref="B743" r:id="rId692" display="https://pubmed.ncbi.nlm.nih.gov/34410749" xr:uid="{00000000-0004-0000-0100-0000B3020000}"/>
    <hyperlink ref="B744" r:id="rId693" display="https://pubmed.ncbi.nlm.nih.gov/34428118" xr:uid="{00000000-0004-0000-0100-0000B4020000}"/>
    <hyperlink ref="B745" r:id="rId694" display="https://pubmed.ncbi.nlm.nih.gov/34429604" xr:uid="{00000000-0004-0000-0100-0000B5020000}"/>
    <hyperlink ref="B747" r:id="rId695" display="https://pubmed.ncbi.nlm.nih.gov/34470506" xr:uid="{00000000-0004-0000-0100-0000B6020000}"/>
    <hyperlink ref="B748" r:id="rId696" display="https://pubmed.ncbi.nlm.nih.gov/34500174" xr:uid="{00000000-0004-0000-0100-0000B7020000}"/>
    <hyperlink ref="B749" r:id="rId697" display="https://pubmed.ncbi.nlm.nih.gov/34510196" xr:uid="{00000000-0004-0000-0100-0000B8020000}"/>
    <hyperlink ref="B750" r:id="rId698" display="https://pubmed.ncbi.nlm.nih.gov/34544343" xr:uid="{00000000-0004-0000-0100-0000B9020000}"/>
    <hyperlink ref="B751" r:id="rId699" display="https://pubmed.ncbi.nlm.nih.gov/34551218" xr:uid="{00000000-0004-0000-0100-0000BA020000}"/>
    <hyperlink ref="B752" r:id="rId700" display="https://pubmed.ncbi.nlm.nih.gov/34561058" xr:uid="{00000000-0004-0000-0100-0000BB020000}"/>
    <hyperlink ref="B753" r:id="rId701" display="https://pubmed.ncbi.nlm.nih.gov/34570061" xr:uid="{00000000-0004-0000-0100-0000BC020000}"/>
    <hyperlink ref="B754" r:id="rId702" display="https://pubmed.ncbi.nlm.nih.gov/34625041" xr:uid="{00000000-0004-0000-0100-0000BD020000}"/>
    <hyperlink ref="B755" r:id="rId703" display="https://pubmed.ncbi.nlm.nih.gov/34626144" xr:uid="{00000000-0004-0000-0100-0000BE020000}"/>
    <hyperlink ref="B756" r:id="rId704" display="https://pubmed.ncbi.nlm.nih.gov/34633280" xr:uid="{00000000-0004-0000-0100-0000BF020000}"/>
    <hyperlink ref="B757" r:id="rId705" display="https://pubmed.ncbi.nlm.nih.gov/34649083" xr:uid="{00000000-0004-0000-0100-0000C0020000}"/>
    <hyperlink ref="B758" r:id="rId706" display="https://pubmed.ncbi.nlm.nih.gov/34653740" xr:uid="{00000000-0004-0000-0100-0000C1020000}"/>
    <hyperlink ref="B759" r:id="rId707" display="https://pubmed.ncbi.nlm.nih.gov/34667261" xr:uid="{00000000-0004-0000-0100-0000C2020000}"/>
    <hyperlink ref="B760" r:id="rId708" display="https://pubmed.ncbi.nlm.nih.gov/34673326" xr:uid="{00000000-0004-0000-0100-0000C3020000}"/>
    <hyperlink ref="B761" r:id="rId709" display="https://pubmed.ncbi.nlm.nih.gov/34700212" xr:uid="{00000000-0004-0000-0100-0000C4020000}"/>
    <hyperlink ref="B762" r:id="rId710" display="https://pubmed.ncbi.nlm.nih.gov/34740708" xr:uid="{00000000-0004-0000-0100-0000C5020000}"/>
    <hyperlink ref="B763" r:id="rId711" display="https://pubmed.ncbi.nlm.nih.gov/34766787" xr:uid="{00000000-0004-0000-0100-0000C6020000}"/>
    <hyperlink ref="B764" r:id="rId712" display="https://pubmed.ncbi.nlm.nih.gov/34785674" xr:uid="{00000000-0004-0000-0100-0000C7020000}"/>
    <hyperlink ref="B765" r:id="rId713" display="https://pubmed.ncbi.nlm.nih.gov/34791283" xr:uid="{00000000-0004-0000-0100-0000C8020000}"/>
    <hyperlink ref="B766" r:id="rId714" display="https://pubmed.ncbi.nlm.nih.gov/34814232" xr:uid="{00000000-0004-0000-0100-0000C9020000}"/>
    <hyperlink ref="B767" r:id="rId715" display="https://pubmed.ncbi.nlm.nih.gov/34839074" xr:uid="{00000000-0004-0000-0100-0000CA020000}"/>
    <hyperlink ref="B768" r:id="rId716" display="https://pubmed.ncbi.nlm.nih.gov/34847501" xr:uid="{00000000-0004-0000-0100-0000CB020000}"/>
    <hyperlink ref="B769" r:id="rId717" display="https://pubmed.ncbi.nlm.nih.gov/34861170" xr:uid="{00000000-0004-0000-0100-0000CC020000}"/>
    <hyperlink ref="B770" r:id="rId718" display="https://pubmed.ncbi.nlm.nih.gov/34886117" xr:uid="{00000000-0004-0000-0100-0000CD020000}"/>
    <hyperlink ref="B771" r:id="rId719" display="https://pubmed.ncbi.nlm.nih.gov/34896870" xr:uid="{00000000-0004-0000-0100-0000CE020000}"/>
    <hyperlink ref="B773" r:id="rId720" display="https://pubmed.ncbi.nlm.nih.gov/34930729" xr:uid="{00000000-0004-0000-0100-0000CF020000}"/>
    <hyperlink ref="B774" r:id="rId721" display="https://pubmed.ncbi.nlm.nih.gov/34934115" xr:uid="{00000000-0004-0000-0100-0000D0020000}"/>
    <hyperlink ref="B775" r:id="rId722" display="https://pubmed.ncbi.nlm.nih.gov/34963486" xr:uid="{00000000-0004-0000-0100-0000D1020000}"/>
    <hyperlink ref="B776" r:id="rId723" display="https://pubmed.ncbi.nlm.nih.gov/34983438" xr:uid="{00000000-0004-0000-0100-0000D2020000}"/>
    <hyperlink ref="B777" r:id="rId724" display="https://pubmed.ncbi.nlm.nih.gov/34989824" xr:uid="{00000000-0004-0000-0100-0000D3020000}"/>
    <hyperlink ref="B778" r:id="rId725" display="https://pubmed.ncbi.nlm.nih.gov/34991040" xr:uid="{00000000-0004-0000-0100-0000D4020000}"/>
    <hyperlink ref="B779" r:id="rId726" display="https://pubmed.ncbi.nlm.nih.gov/35012696" xr:uid="{00000000-0004-0000-0100-0000D5020000}"/>
    <hyperlink ref="B780" r:id="rId727" display="https://pubmed.ncbi.nlm.nih.gov/35032906" xr:uid="{00000000-0004-0000-0100-0000D6020000}"/>
    <hyperlink ref="B781" r:id="rId728" display="https://pubmed.ncbi.nlm.nih.gov/35037116" xr:uid="{00000000-0004-0000-0100-0000D7020000}"/>
    <hyperlink ref="B783" r:id="rId729" display="https://pubmed.ncbi.nlm.nih.gov/35133884" xr:uid="{00000000-0004-0000-0100-0000D8020000}"/>
    <hyperlink ref="B786" r:id="rId730" display="https://pubmed.ncbi.nlm.nih.gov/35150309" xr:uid="{00000000-0004-0000-0100-0000D9020000}"/>
    <hyperlink ref="B787" r:id="rId731" display="https://pubmed.ncbi.nlm.nih.gov/35176740" xr:uid="{00000000-0004-0000-0100-0000DA020000}"/>
    <hyperlink ref="B788" r:id="rId732" display="https://pubmed.ncbi.nlm.nih.gov/35177673" xr:uid="{00000000-0004-0000-0100-0000DB020000}"/>
    <hyperlink ref="B789" r:id="rId733" display="https://pubmed.ncbi.nlm.nih.gov/35182906" xr:uid="{00000000-0004-0000-0100-0000DC020000}"/>
    <hyperlink ref="B790" r:id="rId734" display="https://pubmed.ncbi.nlm.nih.gov/35193729" xr:uid="{00000000-0004-0000-0100-0000DD020000}"/>
    <hyperlink ref="B791" r:id="rId735" display="https://pubmed.ncbi.nlm.nih.gov/35211743" xr:uid="{00000000-0004-0000-0100-0000DE020000}"/>
    <hyperlink ref="B792" r:id="rId736" display="https://pubmed.ncbi.nlm.nih.gov/35235720" xr:uid="{00000000-0004-0000-0100-0000DF020000}"/>
    <hyperlink ref="B793" r:id="rId737" display="https://pubmed.ncbi.nlm.nih.gov/35247794" xr:uid="{00000000-0004-0000-0100-0000E0020000}"/>
    <hyperlink ref="B794" r:id="rId738" display="https://pubmed.ncbi.nlm.nih.gov/35276079" xr:uid="{00000000-0004-0000-0100-0000E1020000}"/>
    <hyperlink ref="B795" r:id="rId739" display="https://pubmed.ncbi.nlm.nih.gov/35276716" xr:uid="{00000000-0004-0000-0100-0000E2020000}"/>
    <hyperlink ref="B797" r:id="rId740" display="https://pubmed.ncbi.nlm.nih.gov/35277995" xr:uid="{00000000-0004-0000-0100-0000E3020000}"/>
    <hyperlink ref="B798" r:id="rId741" display="https://pubmed.ncbi.nlm.nih.gov/35303462" xr:uid="{00000000-0004-0000-0100-0000E4020000}"/>
    <hyperlink ref="B799" r:id="rId742" display="https://pubmed.ncbi.nlm.nih.gov/35343739" xr:uid="{00000000-0004-0000-0100-0000E5020000}"/>
    <hyperlink ref="B800" r:id="rId743" display="https://pubmed.ncbi.nlm.nih.gov/35421287" xr:uid="{00000000-0004-0000-0100-0000E6020000}"/>
    <hyperlink ref="B801" r:id="rId744" display="https://pubmed.ncbi.nlm.nih.gov/35422467" xr:uid="{00000000-0004-0000-0100-0000E7020000}"/>
    <hyperlink ref="B802" r:id="rId745" display="https://pubmed.ncbi.nlm.nih.gov/35438649" xr:uid="{00000000-0004-0000-0100-0000E8020000}"/>
    <hyperlink ref="B803" r:id="rId746" display="https://pubmed.ncbi.nlm.nih.gov/35443947" xr:uid="{00000000-0004-0000-0100-0000E9020000}"/>
    <hyperlink ref="B804" r:id="rId747" display="https://pubmed.ncbi.nlm.nih.gov/35467271" xr:uid="{00000000-0004-0000-0100-0000EA020000}"/>
    <hyperlink ref="B805" r:id="rId748" display="https://pubmed.ncbi.nlm.nih.gov/35526293" xr:uid="{00000000-0004-0000-0100-0000EB020000}"/>
    <hyperlink ref="B806" r:id="rId749" display="https://pubmed.ncbi.nlm.nih.gov/35552528" xr:uid="{00000000-0004-0000-0100-0000EC020000}"/>
    <hyperlink ref="B807" r:id="rId750" display="https://pubmed.ncbi.nlm.nih.gov/35569003" xr:uid="{00000000-0004-0000-0100-0000ED020000}"/>
    <hyperlink ref="B808" r:id="rId751" display="https://pubmed.ncbi.nlm.nih.gov/35569503" xr:uid="{00000000-0004-0000-0100-0000EE020000}"/>
    <hyperlink ref="B809" r:id="rId752" display="https://pubmed.ncbi.nlm.nih.gov/35586878" xr:uid="{00000000-0004-0000-0100-0000EF020000}"/>
    <hyperlink ref="B810" r:id="rId753" display="https://pubmed.ncbi.nlm.nih.gov/35634965" xr:uid="{00000000-0004-0000-0100-0000F0020000}"/>
    <hyperlink ref="B811" r:id="rId754" display="https://pubmed.ncbi.nlm.nih.gov/35636031" xr:uid="{00000000-0004-0000-0100-0000F1020000}"/>
    <hyperlink ref="B812" r:id="rId755" display="https://pubmed.ncbi.nlm.nih.gov/35639493" xr:uid="{00000000-0004-0000-0100-0000F2020000}"/>
    <hyperlink ref="B813" r:id="rId756" display="https://pubmed.ncbi.nlm.nih.gov/35686351" xr:uid="{00000000-0004-0000-0100-0000F3020000}"/>
    <hyperlink ref="B814" r:id="rId757" display="https://pubmed.ncbi.nlm.nih.gov/35687858" xr:uid="{00000000-0004-0000-0100-0000F4020000}"/>
    <hyperlink ref="B815" r:id="rId758" display="https://pubmed.ncbi.nlm.nih.gov/35701062" xr:uid="{00000000-0004-0000-0100-0000F5020000}"/>
    <hyperlink ref="B816" r:id="rId759" display="https://pubmed.ncbi.nlm.nih.gov/35704951" xr:uid="{00000000-0004-0000-0100-0000F6020000}"/>
    <hyperlink ref="B817" r:id="rId760" display="https://pubmed.ncbi.nlm.nih.gov/35715740" xr:uid="{00000000-0004-0000-0100-0000F7020000}"/>
    <hyperlink ref="B818" r:id="rId761" display="https://pubmed.ncbi.nlm.nih.gov/35759349" xr:uid="{00000000-0004-0000-0100-0000F8020000}"/>
    <hyperlink ref="B819" r:id="rId762" display="https://pubmed.ncbi.nlm.nih.gov/35759877" xr:uid="{00000000-0004-0000-0100-0000F9020000}"/>
    <hyperlink ref="B820" r:id="rId763" display="https://pubmed.ncbi.nlm.nih.gov/35781191" xr:uid="{00000000-0004-0000-0100-0000FA020000}"/>
    <hyperlink ref="B821" r:id="rId764" display="https://pubmed.ncbi.nlm.nih.gov/35839558" xr:uid="{00000000-0004-0000-0100-0000FB020000}"/>
    <hyperlink ref="B822" r:id="rId765" display="https://pubmed.ncbi.nlm.nih.gov/35857811" xr:uid="{00000000-0004-0000-0100-0000FC020000}"/>
    <hyperlink ref="B823" r:id="rId766" display="https://pubmed.ncbi.nlm.nih.gov/35921506" xr:uid="{00000000-0004-0000-0100-0000FD020000}"/>
    <hyperlink ref="B824" r:id="rId767" display="https://pubmed.ncbi.nlm.nih.gov/35932309" xr:uid="{00000000-0004-0000-0100-0000FE020000}"/>
    <hyperlink ref="B825" r:id="rId768" display="https://pubmed.ncbi.nlm.nih.gov/35939920" xr:uid="{00000000-0004-0000-0100-0000FF020000}"/>
    <hyperlink ref="B826" r:id="rId769" display="https://pubmed.ncbi.nlm.nih.gov/35939921" xr:uid="{00000000-0004-0000-0100-000000030000}"/>
    <hyperlink ref="B827" r:id="rId770" display="https://pubmed.ncbi.nlm.nih.gov/35953474" xr:uid="{00000000-0004-0000-0100-000001030000}"/>
    <hyperlink ref="B829" r:id="rId771" display="https://pubmed.ncbi.nlm.nih.gov/35971137" xr:uid="{00000000-0004-0000-0100-000002030000}"/>
    <hyperlink ref="B830" r:id="rId772" display="https://pubmed.ncbi.nlm.nih.gov/36031616" xr:uid="{00000000-0004-0000-0100-000003030000}"/>
    <hyperlink ref="B831" r:id="rId773" display="https://pubmed.ncbi.nlm.nih.gov/36031632" xr:uid="{00000000-0004-0000-0100-000004030000}"/>
    <hyperlink ref="B832" r:id="rId774" display="https://pubmed.ncbi.nlm.nih.gov/36037322" xr:uid="{00000000-0004-0000-0100-000005030000}"/>
    <hyperlink ref="B833" r:id="rId775" display="https://pubmed.ncbi.nlm.nih.gov/36047035" xr:uid="{00000000-0004-0000-0100-000006030000}"/>
    <hyperlink ref="B835" r:id="rId776" display="https://pubmed.ncbi.nlm.nih.gov/36085679" xr:uid="{00000000-0004-0000-0100-000007030000}"/>
    <hyperlink ref="B836" r:id="rId777" display="https://pubmed.ncbi.nlm.nih.gov/36115192" xr:uid="{00000000-0004-0000-0100-000008030000}"/>
    <hyperlink ref="B837" r:id="rId778" display="https://pubmed.ncbi.nlm.nih.gov/36122444" xr:uid="{00000000-0004-0000-0100-000009030000}"/>
    <hyperlink ref="B838" r:id="rId779" display="https://pubmed.ncbi.nlm.nih.gov/36153555" xr:uid="{00000000-0004-0000-0100-00000A030000}"/>
    <hyperlink ref="B839" r:id="rId780" display="https://pubmed.ncbi.nlm.nih.gov/36154947" xr:uid="{00000000-0004-0000-0100-00000B030000}"/>
    <hyperlink ref="B840" r:id="rId781" display="https://pubmed.ncbi.nlm.nih.gov/36182772" xr:uid="{00000000-0004-0000-0100-00000C030000}"/>
    <hyperlink ref="B841" r:id="rId782" display="https://pubmed.ncbi.nlm.nih.gov/36190440" xr:uid="{00000000-0004-0000-0100-00000D030000}"/>
    <hyperlink ref="B842" r:id="rId783" display="https://pubmed.ncbi.nlm.nih.gov/36231292" xr:uid="{00000000-0004-0000-0100-00000E030000}"/>
    <hyperlink ref="B843" r:id="rId784" display="https://pubmed.ncbi.nlm.nih.gov/36347107" xr:uid="{00000000-0004-0000-0100-00000F030000}"/>
    <hyperlink ref="B844" r:id="rId785" display="https://pubmed.ncbi.nlm.nih.gov/36370124" xr:uid="{00000000-0004-0000-0100-000010030000}"/>
    <hyperlink ref="B845" r:id="rId786" display="https://pubmed.ncbi.nlm.nih.gov/36401749" xr:uid="{00000000-0004-0000-0100-000011030000}"/>
    <hyperlink ref="B846" r:id="rId787" display="https://pubmed.ncbi.nlm.nih.gov/36414626" xr:uid="{00000000-0004-0000-0100-000012030000}"/>
    <hyperlink ref="B847" r:id="rId788" display="https://pubmed.ncbi.nlm.nih.gov/36424289" xr:uid="{00000000-0004-0000-0100-000013030000}"/>
    <hyperlink ref="B848" r:id="rId789" display="https://pubmed.ncbi.nlm.nih.gov/36462184" xr:uid="{00000000-0004-0000-0100-000014030000}"/>
    <hyperlink ref="B849" r:id="rId790" display="https://pubmed.ncbi.nlm.nih.gov/36463724" xr:uid="{00000000-0004-0000-0100-000015030000}"/>
    <hyperlink ref="B850" r:id="rId791" display="https://pubmed.ncbi.nlm.nih.gov/36468948" xr:uid="{00000000-0004-0000-0100-000016030000}"/>
    <hyperlink ref="B851" r:id="rId792" display="https://pubmed.ncbi.nlm.nih.gov/36475415" xr:uid="{00000000-0004-0000-0100-000017030000}"/>
    <hyperlink ref="B852" r:id="rId793" display="https://pubmed.ncbi.nlm.nih.gov/36541795" xr:uid="{00000000-0004-0000-0100-000018030000}"/>
    <hyperlink ref="B853" r:id="rId794" display="https://pubmed.ncbi.nlm.nih.gov/36558548" xr:uid="{00000000-0004-0000-0100-000019030000}"/>
    <hyperlink ref="B854" r:id="rId795" display="https://pubmed.ncbi.nlm.nih.gov/36577235" xr:uid="{00000000-0004-0000-0100-00001A030000}"/>
    <hyperlink ref="B855" r:id="rId796" display="https://pubmed.ncbi.nlm.nih.gov/36660915" xr:uid="{00000000-0004-0000-0100-00001B030000}"/>
    <hyperlink ref="B856" r:id="rId797" display="https://pubmed.ncbi.nlm.nih.gov/36691039" xr:uid="{00000000-0004-0000-0100-00001C030000}"/>
    <hyperlink ref="B857" r:id="rId798" display="https://pubmed.ncbi.nlm.nih.gov/36692909" xr:uid="{00000000-0004-0000-0100-00001D030000}"/>
    <hyperlink ref="B858" r:id="rId799" display="https://pubmed.ncbi.nlm.nih.gov/36716759" xr:uid="{00000000-0004-0000-0100-00001E030000}"/>
    <hyperlink ref="B859" r:id="rId800" display="https://pubmed.ncbi.nlm.nih.gov/36720576" xr:uid="{00000000-0004-0000-0100-00001F030000}"/>
    <hyperlink ref="B860" r:id="rId801" display="https://pubmed.ncbi.nlm.nih.gov/36797233" xr:uid="{00000000-0004-0000-0100-000020030000}"/>
    <hyperlink ref="B861" r:id="rId802" display="https://pubmed.ncbi.nlm.nih.gov/36803673" xr:uid="{00000000-0004-0000-0100-000021030000}"/>
    <hyperlink ref="B862" r:id="rId803" display="https://pubmed.ncbi.nlm.nih.gov/36804071" xr:uid="{00000000-0004-0000-0100-000022030000}"/>
    <hyperlink ref="B863" r:id="rId804" display="https://pubmed.ncbi.nlm.nih.gov/36807126" xr:uid="{00000000-0004-0000-0100-000023030000}"/>
    <hyperlink ref="B864" r:id="rId805" display="https://pubmed.ncbi.nlm.nih.gov/36856480" xr:uid="{00000000-0004-0000-0100-000024030000}"/>
    <hyperlink ref="B865" r:id="rId806" display="https://pubmed.ncbi.nlm.nih.gov/36883881" xr:uid="{00000000-0004-0000-0100-000025030000}"/>
    <hyperlink ref="B866" r:id="rId807" display="https://pubmed.ncbi.nlm.nih.gov/36891649" xr:uid="{00000000-0004-0000-0100-000026030000}"/>
    <hyperlink ref="B867" r:id="rId808" display="https://pubmed.ncbi.nlm.nih.gov/36905498" xr:uid="{00000000-0004-0000-0100-000027030000}"/>
    <hyperlink ref="B868" r:id="rId809" display="https://pubmed.ncbi.nlm.nih.gov/36927273" xr:uid="{00000000-0004-0000-0100-000028030000}"/>
    <hyperlink ref="B869" r:id="rId810" display="https://pubmed.ncbi.nlm.nih.gov/36928351" xr:uid="{00000000-0004-0000-0100-000029030000}"/>
    <hyperlink ref="B870" r:id="rId811" display="https://pubmed.ncbi.nlm.nih.gov/36933290" xr:uid="{00000000-0004-0000-0100-00002A030000}"/>
    <hyperlink ref="B871" r:id="rId812" display="https://pubmed.ncbi.nlm.nih.gov/36946605" xr:uid="{00000000-0004-0000-0100-00002B030000}"/>
    <hyperlink ref="B872" r:id="rId813" display="https://pubmed.ncbi.nlm.nih.gov/36958998" xr:uid="{00000000-0004-0000-0100-00002C030000}"/>
    <hyperlink ref="B873" r:id="rId814" display="https://pubmed.ncbi.nlm.nih.gov/36965364" xr:uid="{00000000-0004-0000-0100-00002D030000}"/>
    <hyperlink ref="B874" r:id="rId815" display="https://pubmed.ncbi.nlm.nih.gov/36988483" xr:uid="{00000000-0004-0000-0100-00002E030000}"/>
    <hyperlink ref="B875" r:id="rId816" display="https://pubmed.ncbi.nlm.nih.gov/37004331" xr:uid="{00000000-0004-0000-0100-00002F030000}"/>
    <hyperlink ref="B876" r:id="rId817" display="https://pubmed.ncbi.nlm.nih.gov/37010371" xr:uid="{00000000-0004-0000-0100-000030030000}"/>
    <hyperlink ref="B877" r:id="rId818" display="https://pubmed.ncbi.nlm.nih.gov/37012184" xr:uid="{00000000-0004-0000-0100-000031030000}"/>
    <hyperlink ref="B878" r:id="rId819" display="https://pubmed.ncbi.nlm.nih.gov/37019033" xr:uid="{00000000-0004-0000-0100-000032030000}"/>
    <hyperlink ref="B879" r:id="rId820" display="https://pubmed.ncbi.nlm.nih.gov/37028258" xr:uid="{00000000-0004-0000-0100-000033030000}"/>
    <hyperlink ref="B880" r:id="rId821" display="https://pubmed.ncbi.nlm.nih.gov/37036495" xr:uid="{00000000-0004-0000-0100-000034030000}"/>
    <hyperlink ref="B881" r:id="rId822" display="https://pubmed.ncbi.nlm.nih.gov/37118058" xr:uid="{00000000-0004-0000-0100-000035030000}"/>
    <hyperlink ref="B882" r:id="rId823" display="https://pubmed.ncbi.nlm.nih.gov/37141764" xr:uid="{00000000-0004-0000-0100-000036030000}"/>
    <hyperlink ref="B883" r:id="rId824" display="https://pubmed.ncbi.nlm.nih.gov/37232002" xr:uid="{00000000-0004-0000-0100-000037030000}"/>
    <hyperlink ref="B884" r:id="rId825" display="https://pubmed.ncbi.nlm.nih.gov/37267670" xr:uid="{00000000-0004-0000-0100-000038030000}"/>
    <hyperlink ref="B885" r:id="rId826" display="https://pubmed.ncbi.nlm.nih.gov/37349110" xr:uid="{00000000-0004-0000-0100-000039030000}"/>
    <hyperlink ref="B886" r:id="rId827" display="https://pubmed.ncbi.nlm.nih.gov/37386572" xr:uid="{00000000-0004-0000-0100-00003A030000}"/>
    <hyperlink ref="B887" r:id="rId828" display="https://pubmed.ncbi.nlm.nih.gov/37442999" xr:uid="{00000000-0004-0000-0100-00003B030000}"/>
    <hyperlink ref="B888" r:id="rId829" display="https://pubmed.ncbi.nlm.nih.gov/37466276" xr:uid="{00000000-0004-0000-0100-00003C030000}"/>
    <hyperlink ref="B889" r:id="rId830" display="https://pubmed.ncbi.nlm.nih.gov/37494877" xr:uid="{00000000-0004-0000-0100-00003D030000}"/>
    <hyperlink ref="B890" r:id="rId831" display="https://pubmed.ncbi.nlm.nih.gov/37506738" xr:uid="{00000000-0004-0000-0100-00003E030000}"/>
    <hyperlink ref="B891" r:id="rId832" display="https://pubmed.ncbi.nlm.nih.gov/37532985" xr:uid="{00000000-0004-0000-0100-00003F030000}"/>
    <hyperlink ref="B892" r:id="rId833" display="https://pubmed.ncbi.nlm.nih.gov/37597507" xr:uid="{00000000-0004-0000-0100-000040030000}"/>
    <hyperlink ref="B893" r:id="rId834" display="https://pubmed.ncbi.nlm.nih.gov/37625246" xr:uid="{00000000-0004-0000-0100-000041030000}"/>
    <hyperlink ref="B894" r:id="rId835" display="https://pubmed.ncbi.nlm.nih.gov/37647498" xr:uid="{00000000-0004-0000-0100-000042030000}"/>
    <hyperlink ref="B895" r:id="rId836" display="https://pubmed.ncbi.nlm.nih.gov/37653768" xr:uid="{00000000-0004-0000-0100-000043030000}"/>
    <hyperlink ref="B896" r:id="rId837" display="https://pubmed.ncbi.nlm.nih.gov/37670161" xr:uid="{00000000-0004-0000-0100-000044030000}"/>
    <hyperlink ref="B897" r:id="rId838" display="https://pubmed.ncbi.nlm.nih.gov/37690312" xr:uid="{00000000-0004-0000-0100-000045030000}"/>
    <hyperlink ref="B898" r:id="rId839" display="https://pubmed.ncbi.nlm.nih.gov/37696635" xr:uid="{00000000-0004-0000-0100-000046030000}"/>
    <hyperlink ref="B899" r:id="rId840" display="https://pubmed.ncbi.nlm.nih.gov/37716320" xr:uid="{00000000-0004-0000-0100-000047030000}"/>
    <hyperlink ref="B901" r:id="rId841" display="https://pubmed.ncbi.nlm.nih.gov/37732853" xr:uid="{00000000-0004-0000-0100-000048030000}"/>
    <hyperlink ref="B902" r:id="rId842" display="https://pubmed.ncbi.nlm.nih.gov/37778356" xr:uid="{00000000-0004-0000-0100-000049030000}"/>
    <hyperlink ref="B903" r:id="rId843" display="https://pubmed.ncbi.nlm.nih.gov/37833590" xr:uid="{00000000-0004-0000-0100-00004A030000}"/>
    <hyperlink ref="B904" r:id="rId844" display="https://pubmed.ncbi.nlm.nih.gov/37857138" xr:uid="{00000000-0004-0000-0100-00004B030000}"/>
    <hyperlink ref="B905" r:id="rId845" display="https://pubmed.ncbi.nlm.nih.gov/37903861" xr:uid="{00000000-0004-0000-0100-00004C030000}"/>
    <hyperlink ref="B906" r:id="rId846" display="https://pubmed.ncbi.nlm.nih.gov/37924833" xr:uid="{00000000-0004-0000-0100-00004D030000}"/>
    <hyperlink ref="B908" r:id="rId847" display="https://pubmed.ncbi.nlm.nih.gov/37962384" xr:uid="{00000000-0004-0000-0100-00004E030000}"/>
    <hyperlink ref="B909" r:id="rId848" display="https://pubmed.ncbi.nlm.nih.gov/38053478" xr:uid="{00000000-0004-0000-0100-00004F030000}"/>
    <hyperlink ref="B910" r:id="rId849" display="https://pubmed.ncbi.nlm.nih.gov/38084398" xr:uid="{00000000-0004-0000-0100-000050030000}"/>
    <hyperlink ref="B912" r:id="rId850" display="https://pubmed.ncbi.nlm.nih.gov/38151432" xr:uid="{00000000-0004-0000-0100-000051030000}"/>
    <hyperlink ref="B913" r:id="rId851" display="https://pubmed.ncbi.nlm.nih.gov/38157711" xr:uid="{00000000-0004-0000-0100-000052030000}"/>
    <hyperlink ref="B914" r:id="rId852" display="https://pubmed.ncbi.nlm.nih.gov/38166946" xr:uid="{00000000-0004-0000-0100-000053030000}"/>
    <hyperlink ref="B915" r:id="rId853" display="https://pubmed.ncbi.nlm.nih.gov/38199388" xr:uid="{00000000-0004-0000-0100-000054030000}"/>
    <hyperlink ref="B916" r:id="rId854" display="https://pubmed.ncbi.nlm.nih.gov/38218952" xr:uid="{00000000-0004-0000-0100-000055030000}"/>
    <hyperlink ref="B917" r:id="rId855" display="https://pubmed.ncbi.nlm.nih.gov/38237358" xr:uid="{00000000-0004-0000-0100-000056030000}"/>
    <hyperlink ref="B918" r:id="rId856" display="https://pubmed.ncbi.nlm.nih.gov/38253334" xr:uid="{00000000-0004-0000-0100-000057030000}"/>
    <hyperlink ref="B919" r:id="rId857" display="https://pubmed.ncbi.nlm.nih.gov/38262165" xr:uid="{00000000-0004-0000-0100-000058030000}"/>
    <hyperlink ref="B920" r:id="rId858" display="https://pubmed.ncbi.nlm.nih.gov/38301186" xr:uid="{00000000-0004-0000-0100-000059030000}"/>
    <hyperlink ref="B921" r:id="rId859" display="https://pubmed.ncbi.nlm.nih.gov/38309212" xr:uid="{00000000-0004-0000-0100-00005A030000}"/>
    <hyperlink ref="B922" r:id="rId860" display="https://pubmed.ncbi.nlm.nih.gov/38355533" xr:uid="{00000000-0004-0000-0100-00005B030000}"/>
    <hyperlink ref="B923" r:id="rId861" display="https://pubmed.ncbi.nlm.nih.gov/38372704" xr:uid="{00000000-0004-0000-0100-00005C030000}"/>
    <hyperlink ref="B924" r:id="rId862" display="https://pubmed.ncbi.nlm.nih.gov/38387253" xr:uid="{00000000-0004-0000-0100-00005D030000}"/>
    <hyperlink ref="B925" r:id="rId863" display="https://pubmed.ncbi.nlm.nih.gov/38388986" xr:uid="{00000000-0004-0000-0100-00005E030000}"/>
    <hyperlink ref="B926" r:id="rId864" display="https://pubmed.ncbi.nlm.nih.gov/38416865" xr:uid="{00000000-0004-0000-0100-00005F030000}"/>
    <hyperlink ref="B927" r:id="rId865" display="https://pubmed.ncbi.nlm.nih.gov/38421921" xr:uid="{00000000-0004-0000-0100-000060030000}"/>
    <hyperlink ref="B929" r:id="rId866" display="https://pubmed.ncbi.nlm.nih.gov/38453003" xr:uid="{00000000-0004-0000-0100-000061030000}"/>
    <hyperlink ref="B930" r:id="rId867" display="https://pubmed.ncbi.nlm.nih.gov/38493362" xr:uid="{00000000-0004-0000-0100-000062030000}"/>
    <hyperlink ref="B931" r:id="rId868" display="https://pubmed.ncbi.nlm.nih.gov/38527949" xr:uid="{00000000-0004-0000-0100-000063030000}"/>
    <hyperlink ref="B932" r:id="rId869" display="https://pubmed.ncbi.nlm.nih.gov/38533552" xr:uid="{00000000-0004-0000-0100-000064030000}"/>
    <hyperlink ref="B933" r:id="rId870" display="https://pubmed.ncbi.nlm.nih.gov/38537483" xr:uid="{00000000-0004-0000-0100-000065030000}"/>
    <hyperlink ref="B934" r:id="rId871" display="https://pubmed.ncbi.nlm.nih.gov/38547601" xr:uid="{00000000-0004-0000-0100-000066030000}"/>
    <hyperlink ref="B935" r:id="rId872" display="https://pubmed.ncbi.nlm.nih.gov/38566884" xr:uid="{00000000-0004-0000-0100-000067030000}"/>
    <hyperlink ref="B936" r:id="rId873" display="https://pubmed.ncbi.nlm.nih.gov/38644296" xr:uid="{00000000-0004-0000-0100-000068030000}"/>
    <hyperlink ref="B937" r:id="rId874" display="https://pubmed.ncbi.nlm.nih.gov/38664377" xr:uid="{00000000-0004-0000-0100-000069030000}"/>
    <hyperlink ref="B938" r:id="rId875" display="https://pubmed.ncbi.nlm.nih.gov/38713452" xr:uid="{00000000-0004-0000-0100-00006A030000}"/>
    <hyperlink ref="B939" r:id="rId876" display="https://pubmed.ncbi.nlm.nih.gov/38718691" xr:uid="{00000000-0004-0000-0100-00006B030000}"/>
    <hyperlink ref="B940" r:id="rId877" display="https://pubmed.ncbi.nlm.nih.gov/38749320" xr:uid="{00000000-0004-0000-0100-00006C030000}"/>
    <hyperlink ref="B941" r:id="rId878" display="https://pubmed.ncbi.nlm.nih.gov/38750386" xr:uid="{00000000-0004-0000-0100-00006D030000}"/>
    <hyperlink ref="B942" r:id="rId879" display="https://pubmed.ncbi.nlm.nih.gov/38769284" xr:uid="{00000000-0004-0000-0100-00006E030000}"/>
    <hyperlink ref="B943" r:id="rId880" display="https://pubmed.ncbi.nlm.nih.gov/38806461" xr:uid="{00000000-0004-0000-0100-00006F030000}"/>
    <hyperlink ref="B944" r:id="rId881" display="https://pubmed.ncbi.nlm.nih.gov/38877468" xr:uid="{00000000-0004-0000-0100-000070030000}"/>
    <hyperlink ref="B946" r:id="rId882" display="https://pubmed.ncbi.nlm.nih.gov/38954317" xr:uid="{00000000-0004-0000-0100-000071030000}"/>
    <hyperlink ref="B947" r:id="rId883" display="https://pubmed.ncbi.nlm.nih.gov/39018073" xr:uid="{00000000-0004-0000-0100-000072030000}"/>
    <hyperlink ref="B948" r:id="rId884" display="https://pubmed.ncbi.nlm.nih.gov/39034077" xr:uid="{00000000-0004-0000-0100-000073030000}"/>
    <hyperlink ref="B949" r:id="rId885" display="https://pubmed.ncbi.nlm.nih.gov/39054763" xr:uid="{00000000-0004-0000-0100-000074030000}"/>
    <hyperlink ref="B950" r:id="rId886" display="https://pubmed.ncbi.nlm.nih.gov/39075458" xr:uid="{00000000-0004-0000-0100-000075030000}"/>
    <hyperlink ref="B951" r:id="rId887" display="https://center6.umin.ac.jp/cgi-open-bin/ctr_e/ctr_view.cgi?recptno=R000042506" xr:uid="{00000000-0004-0000-0100-000076030000}"/>
    <hyperlink ref="B952" r:id="rId888" display="https://center6.umin.ac.jp/cgi-open-bin/ctr_e/ctr_view.cgi?recptno=R000042960" xr:uid="{00000000-0004-0000-0100-000077030000}"/>
    <hyperlink ref="B953" r:id="rId889" display="https://center6.umin.ac.jp/cgi-open-bin/ctr_e/ctr_view.cgi?recptno=R000041477" xr:uid="{00000000-0004-0000-0100-000078030000}"/>
    <hyperlink ref="B954" r:id="rId890" display="https://center6.umin.ac.jp/cgi-open-bin/ctr_e/ctr_view.cgi?recptno=R000044835" xr:uid="{00000000-0004-0000-0100-000079030000}"/>
    <hyperlink ref="B955" r:id="rId891" display="https://center6.umin.ac.jp/cgi-open-bin/ctr_e/ctr_view.cgi?recptno=R000045042" xr:uid="{00000000-0004-0000-0100-00007A030000}"/>
    <hyperlink ref="B956" r:id="rId892" display="https://center6.umin.ac.jp/cgi-open-bin/ctr_e/ctr_view.cgi?recptno=R000046914" xr:uid="{00000000-0004-0000-0100-00007B030000}"/>
    <hyperlink ref="B957" r:id="rId893" display="https://center6.umin.ac.jp/cgi-open-bin/ctr_e/ctr_view.cgi?recptno=R000047114" xr:uid="{00000000-0004-0000-0100-00007C030000}"/>
    <hyperlink ref="B958" r:id="rId894" display="https://center6.umin.ac.jp/cgi-open-bin/ctr_e/ctr_view.cgi?recptno=R000048547" xr:uid="{00000000-0004-0000-0100-00007D030000}"/>
    <hyperlink ref="B959" r:id="rId895" display="https://center6.umin.ac.jp/cgi-open-bin/ctr_e/ctr_view.cgi?recptno=R000048804" xr:uid="{00000000-0004-0000-0100-00007E030000}"/>
    <hyperlink ref="B960" r:id="rId896" display="https://center6.umin.ac.jp/cgi-open-bin/ctr_e/ctr_view.cgi?recptno=R000049296" xr:uid="{00000000-0004-0000-0100-00007F030000}"/>
    <hyperlink ref="B961" r:id="rId897" display="https://center6.umin.ac.jp/cgi-open-bin/ctr_e/ctr_view.cgi?recptno=R000049467" xr:uid="{00000000-0004-0000-0100-000080030000}"/>
    <hyperlink ref="B962" r:id="rId898" display="https://center6.umin.ac.jp/cgi-open-bin/ctr_e/ctr_view.cgi?recptno=R000050273" xr:uid="{00000000-0004-0000-0100-000081030000}"/>
    <hyperlink ref="B963" r:id="rId899" display="https://center6.umin.ac.jp/cgi-open-bin/ctr_e/ctr_view.cgi?recptno=R000051494" xr:uid="{00000000-0004-0000-0100-000082030000}"/>
    <hyperlink ref="B964" r:id="rId900" display="https://center6.umin.ac.jp/cgi-open-bin/ctr_e/ctr_view.cgi?recptno=R000051597" xr:uid="{00000000-0004-0000-0100-000083030000}"/>
    <hyperlink ref="B965" r:id="rId901" display="https://center6.umin.ac.jp/cgi-open-bin/ctr_e/ctr_view.cgi?recptno=R000051321" xr:uid="{00000000-0004-0000-0100-000084030000}"/>
    <hyperlink ref="B966" r:id="rId902" display="https://center6.umin.ac.jp/cgi-open-bin/ctr_e/ctr_view.cgi?recptno=R000053860" xr:uid="{00000000-0004-0000-0100-000085030000}"/>
    <hyperlink ref="B967" r:id="rId903" display="https://center6.umin.ac.jp/cgi-open-bin/ctr_e/ctr_view.cgi?recptno=R000054062" xr:uid="{00000000-0004-0000-0100-000086030000}"/>
    <hyperlink ref="B968" r:id="rId904" display="https://center6.umin.ac.jp/cgi-open-bin/ctr_e/ctr_view.cgi?recptno=R000055454" xr:uid="{00000000-0004-0000-0100-000087030000}"/>
    <hyperlink ref="B969" r:id="rId905" display="https://center6.umin.ac.jp/cgi-open-bin/ctr_e/ctr_view.cgi?recptno=R000057777" xr:uid="{00000000-0004-0000-0100-000088030000}"/>
    <hyperlink ref="B970" r:id="rId906" display="https://center6.umin.ac.jp/cgi-open-bin/ctr_e/ctr_view.cgi?recptno=R000057436" xr:uid="{00000000-0004-0000-0100-000089030000}"/>
    <hyperlink ref="B971" r:id="rId907" display="https://center6.umin.ac.jp/cgi-open-bin/ctr_e/ctr_view.cgi?recptno=R000058014" xr:uid="{00000000-0004-0000-0100-00008A030000}"/>
    <hyperlink ref="B972" r:id="rId908" display="https://center6.umin.ac.jp/cgi-open-bin/ctr_e/ctr_view.cgi?recptno=R000058177" xr:uid="{00000000-0004-0000-0100-00008B030000}"/>
    <hyperlink ref="B973" r:id="rId909" display="https://center6.umin.ac.jp/cgi-open-bin/ctr_e/ctr_view.cgi?recptno=R000059317" xr:uid="{00000000-0004-0000-0100-00008C030000}"/>
    <hyperlink ref="B974" r:id="rId910" display="https://center6.umin.ac.jp/cgi-open-bin/ctr_e/ctr_view.cgi?recptno=R000061356" xr:uid="{00000000-0004-0000-0100-00008D030000}"/>
    <hyperlink ref="B975" r:id="rId911" display="https://center6.umin.ac.jp/cgi-open-bin/ctr_e/ctr_view.cgi?recptno=R000062009" xr:uid="{00000000-0004-0000-0100-00008E030000}"/>
    <hyperlink ref="B33" r:id="rId912" display="https://www.clinicaltrialsregister.eu/ctr-search/trial/2020-006062-36/IT" xr:uid="{00000000-0004-0000-0100-00008F030000}"/>
    <hyperlink ref="B34" r:id="rId913" display="https://www.clinicaltrialsregister.eu/ctr-search/trial/2021-000350-26/ES" xr:uid="{00000000-0004-0000-0100-000090030000}"/>
    <hyperlink ref="B32" r:id="rId914" display="https://www.clinicaltrialsregister.eu/ctr-search/trial/2019-003343-29/ES" xr:uid="{00000000-0004-0000-0100-000091030000}"/>
    <hyperlink ref="B35" r:id="rId915" display="https://www.clinicaltrialsregister.eu/ctr-search/trial/2021-001278-44/ES" xr:uid="{00000000-0004-0000-0100-000092030000}"/>
    <hyperlink ref="E5" r:id="rId916" xr:uid="{00000000-0004-0000-0100-000093030000}"/>
    <hyperlink ref="E6" r:id="rId917" xr:uid="{00000000-0004-0000-0100-000094030000}"/>
    <hyperlink ref="E7" r:id="rId918" xr:uid="{00000000-0004-0000-0100-000095030000}"/>
    <hyperlink ref="E8" r:id="rId919" xr:uid="{00000000-0004-0000-0100-000096030000}"/>
    <hyperlink ref="E9" r:id="rId920" xr:uid="{00000000-0004-0000-0100-000097030000}"/>
    <hyperlink ref="E10" r:id="rId921" xr:uid="{00000000-0004-0000-0100-000098030000}"/>
    <hyperlink ref="E11" r:id="rId922" xr:uid="{00000000-0004-0000-0100-000099030000}"/>
    <hyperlink ref="E12" r:id="rId923" xr:uid="{00000000-0004-0000-0100-00009A030000}"/>
    <hyperlink ref="E13" r:id="rId924" xr:uid="{00000000-0004-0000-0100-00009B030000}"/>
    <hyperlink ref="E14" r:id="rId925" xr:uid="{00000000-0004-0000-0100-00009C030000}"/>
    <hyperlink ref="E15" r:id="rId926" xr:uid="{00000000-0004-0000-0100-00009D030000}"/>
    <hyperlink ref="E16" r:id="rId927" xr:uid="{00000000-0004-0000-0100-00009E030000}"/>
    <hyperlink ref="E17" r:id="rId928" xr:uid="{00000000-0004-0000-0100-00009F030000}"/>
    <hyperlink ref="E18" r:id="rId929" xr:uid="{00000000-0004-0000-0100-0000A0030000}"/>
    <hyperlink ref="E19" r:id="rId930" xr:uid="{00000000-0004-0000-0100-0000A1030000}"/>
    <hyperlink ref="E20" r:id="rId931" xr:uid="{00000000-0004-0000-0100-0000A2030000}"/>
    <hyperlink ref="E21" r:id="rId932" xr:uid="{00000000-0004-0000-0100-0000A3030000}"/>
    <hyperlink ref="E22" r:id="rId933" xr:uid="{00000000-0004-0000-0100-0000A4030000}"/>
    <hyperlink ref="E23" r:id="rId934" xr:uid="{00000000-0004-0000-0100-0000A5030000}"/>
    <hyperlink ref="E24" r:id="rId935" xr:uid="{00000000-0004-0000-0100-0000A6030000}"/>
    <hyperlink ref="E25" r:id="rId936" xr:uid="{00000000-0004-0000-0100-0000A7030000}"/>
    <hyperlink ref="E26" r:id="rId937" xr:uid="{00000000-0004-0000-0100-0000A8030000}"/>
    <hyperlink ref="E27" r:id="rId938" xr:uid="{00000000-0004-0000-0100-0000A9030000}"/>
    <hyperlink ref="E28" r:id="rId939" xr:uid="{00000000-0004-0000-0100-0000AA030000}"/>
    <hyperlink ref="E29" r:id="rId940" xr:uid="{00000000-0004-0000-0100-0000AB030000}"/>
    <hyperlink ref="E30" r:id="rId941" xr:uid="{00000000-0004-0000-0100-0000AC030000}"/>
    <hyperlink ref="E31" r:id="rId942" xr:uid="{00000000-0004-0000-0100-0000AD030000}"/>
    <hyperlink ref="E37" r:id="rId943" xr:uid="{00000000-0004-0000-0100-0000AE030000}"/>
    <hyperlink ref="E38" r:id="rId944" xr:uid="{00000000-0004-0000-0100-0000AF030000}"/>
    <hyperlink ref="E39" r:id="rId945" xr:uid="{00000000-0004-0000-0100-0000B0030000}"/>
    <hyperlink ref="E40" r:id="rId946" xr:uid="{00000000-0004-0000-0100-0000B1030000}"/>
    <hyperlink ref="E41" r:id="rId947" xr:uid="{00000000-0004-0000-0100-0000B2030000}"/>
    <hyperlink ref="E42" r:id="rId948" xr:uid="{00000000-0004-0000-0100-0000B3030000}"/>
    <hyperlink ref="E43" r:id="rId949" xr:uid="{00000000-0004-0000-0100-0000B4030000}"/>
    <hyperlink ref="E44" r:id="rId950" xr:uid="{00000000-0004-0000-0100-0000B5030000}"/>
    <hyperlink ref="E45" r:id="rId951" xr:uid="{00000000-0004-0000-0100-0000B6030000}"/>
    <hyperlink ref="E46" r:id="rId952" xr:uid="{00000000-0004-0000-0100-0000B7030000}"/>
    <hyperlink ref="E47" r:id="rId953" xr:uid="{00000000-0004-0000-0100-0000B8030000}"/>
    <hyperlink ref="E48" r:id="rId954" xr:uid="{00000000-0004-0000-0100-0000B9030000}"/>
    <hyperlink ref="E49" r:id="rId955" xr:uid="{00000000-0004-0000-0100-0000BA030000}"/>
    <hyperlink ref="E50" r:id="rId956" xr:uid="{00000000-0004-0000-0100-0000BB030000}"/>
    <hyperlink ref="E51" r:id="rId957" xr:uid="{00000000-0004-0000-0100-0000BC030000}"/>
    <hyperlink ref="E52" r:id="rId958" xr:uid="{00000000-0004-0000-0100-0000BD030000}"/>
    <hyperlink ref="E53" r:id="rId959" xr:uid="{00000000-0004-0000-0100-0000BE030000}"/>
    <hyperlink ref="E54" r:id="rId960" xr:uid="{00000000-0004-0000-0100-0000BF030000}"/>
    <hyperlink ref="E55" r:id="rId961" xr:uid="{00000000-0004-0000-0100-0000C0030000}"/>
    <hyperlink ref="E56" r:id="rId962" xr:uid="{00000000-0004-0000-0100-0000C1030000}"/>
    <hyperlink ref="E57" r:id="rId963" xr:uid="{00000000-0004-0000-0100-0000C2030000}"/>
    <hyperlink ref="E58" r:id="rId964" xr:uid="{00000000-0004-0000-0100-0000C3030000}"/>
    <hyperlink ref="E59" r:id="rId965" xr:uid="{00000000-0004-0000-0100-0000C4030000}"/>
    <hyperlink ref="E60" r:id="rId966" xr:uid="{00000000-0004-0000-0100-0000C5030000}"/>
    <hyperlink ref="E61" r:id="rId967" xr:uid="{00000000-0004-0000-0100-0000C6030000}"/>
    <hyperlink ref="E62" r:id="rId968" xr:uid="{00000000-0004-0000-0100-0000C7030000}"/>
    <hyperlink ref="E63" r:id="rId969" xr:uid="{00000000-0004-0000-0100-0000C8030000}"/>
    <hyperlink ref="E64" r:id="rId970" xr:uid="{00000000-0004-0000-0100-0000C9030000}"/>
    <hyperlink ref="E65" r:id="rId971" xr:uid="{00000000-0004-0000-0100-0000CA030000}"/>
    <hyperlink ref="E66" r:id="rId972" xr:uid="{00000000-0004-0000-0100-0000CB030000}"/>
    <hyperlink ref="E67" r:id="rId973" xr:uid="{00000000-0004-0000-0100-0000CC030000}"/>
    <hyperlink ref="E68" r:id="rId974" xr:uid="{00000000-0004-0000-0100-0000CD030000}"/>
    <hyperlink ref="E69" r:id="rId975" xr:uid="{00000000-0004-0000-0100-0000CE030000}"/>
    <hyperlink ref="E70" r:id="rId976" xr:uid="{00000000-0004-0000-0100-0000CF030000}"/>
    <hyperlink ref="E71" r:id="rId977" xr:uid="{00000000-0004-0000-0100-0000D0030000}"/>
    <hyperlink ref="E72" r:id="rId978" xr:uid="{00000000-0004-0000-0100-0000D1030000}"/>
    <hyperlink ref="E73" r:id="rId979" xr:uid="{00000000-0004-0000-0100-0000D2030000}"/>
    <hyperlink ref="E74" r:id="rId980" xr:uid="{00000000-0004-0000-0100-0000D3030000}"/>
    <hyperlink ref="E75" r:id="rId981" xr:uid="{00000000-0004-0000-0100-0000D4030000}"/>
    <hyperlink ref="E76" r:id="rId982" xr:uid="{00000000-0004-0000-0100-0000D5030000}"/>
    <hyperlink ref="E77" r:id="rId983" xr:uid="{00000000-0004-0000-0100-0000D6030000}"/>
    <hyperlink ref="E78" r:id="rId984" xr:uid="{00000000-0004-0000-0100-0000D7030000}"/>
    <hyperlink ref="E79" r:id="rId985" xr:uid="{00000000-0004-0000-0100-0000D8030000}"/>
    <hyperlink ref="E80" r:id="rId986" xr:uid="{00000000-0004-0000-0100-0000D9030000}"/>
    <hyperlink ref="E82" r:id="rId987" xr:uid="{00000000-0004-0000-0100-0000DA030000}"/>
    <hyperlink ref="E84" r:id="rId988" xr:uid="{00000000-0004-0000-0100-0000DB030000}"/>
    <hyperlink ref="E85" r:id="rId989" xr:uid="{00000000-0004-0000-0100-0000DC030000}"/>
    <hyperlink ref="E87" r:id="rId990" xr:uid="{00000000-0004-0000-0100-0000DD030000}"/>
    <hyperlink ref="E88" r:id="rId991" xr:uid="{00000000-0004-0000-0100-0000DE030000}"/>
    <hyperlink ref="E89" r:id="rId992" xr:uid="{00000000-0004-0000-0100-0000DF030000}"/>
    <hyperlink ref="E90" r:id="rId993" xr:uid="{00000000-0004-0000-0100-0000E0030000}"/>
    <hyperlink ref="E91" r:id="rId994" xr:uid="{00000000-0004-0000-0100-0000E1030000}"/>
    <hyperlink ref="E92" r:id="rId995" xr:uid="{00000000-0004-0000-0100-0000E2030000}"/>
    <hyperlink ref="E93" r:id="rId996" xr:uid="{00000000-0004-0000-0100-0000E3030000}"/>
    <hyperlink ref="E94" r:id="rId997" xr:uid="{00000000-0004-0000-0100-0000E4030000}"/>
    <hyperlink ref="E95" r:id="rId998" xr:uid="{00000000-0004-0000-0100-0000E5030000}"/>
    <hyperlink ref="E96" r:id="rId999" xr:uid="{00000000-0004-0000-0100-0000E6030000}"/>
    <hyperlink ref="E97" r:id="rId1000" xr:uid="{00000000-0004-0000-0100-0000E7030000}"/>
    <hyperlink ref="E98" r:id="rId1001" xr:uid="{00000000-0004-0000-0100-0000E8030000}"/>
    <hyperlink ref="E99" r:id="rId1002" xr:uid="{00000000-0004-0000-0100-0000E9030000}"/>
    <hyperlink ref="E100" r:id="rId1003" xr:uid="{00000000-0004-0000-0100-0000EA030000}"/>
    <hyperlink ref="E101" r:id="rId1004" xr:uid="{00000000-0004-0000-0100-0000EB030000}"/>
    <hyperlink ref="E102" r:id="rId1005" xr:uid="{00000000-0004-0000-0100-0000EC030000}"/>
    <hyperlink ref="E103" r:id="rId1006" xr:uid="{00000000-0004-0000-0100-0000ED030000}"/>
    <hyperlink ref="E104" r:id="rId1007" xr:uid="{00000000-0004-0000-0100-0000EE030000}"/>
    <hyperlink ref="E106" r:id="rId1008" xr:uid="{00000000-0004-0000-0100-0000EF030000}"/>
    <hyperlink ref="E107" r:id="rId1009" xr:uid="{00000000-0004-0000-0100-0000F0030000}"/>
    <hyperlink ref="E108" r:id="rId1010" xr:uid="{00000000-0004-0000-0100-0000F1030000}"/>
    <hyperlink ref="E109" r:id="rId1011" xr:uid="{00000000-0004-0000-0100-0000F2030000}"/>
    <hyperlink ref="E110" r:id="rId1012" xr:uid="{00000000-0004-0000-0100-0000F3030000}"/>
    <hyperlink ref="E111" r:id="rId1013" xr:uid="{00000000-0004-0000-0100-0000F4030000}"/>
    <hyperlink ref="E112" r:id="rId1014" xr:uid="{00000000-0004-0000-0100-0000F5030000}"/>
    <hyperlink ref="E113" r:id="rId1015" xr:uid="{00000000-0004-0000-0100-0000F6030000}"/>
    <hyperlink ref="E114" r:id="rId1016" xr:uid="{00000000-0004-0000-0100-0000F7030000}"/>
    <hyperlink ref="E115" r:id="rId1017" xr:uid="{00000000-0004-0000-0100-0000F8030000}"/>
    <hyperlink ref="E116" r:id="rId1018" xr:uid="{00000000-0004-0000-0100-0000F9030000}"/>
    <hyperlink ref="E117" r:id="rId1019" xr:uid="{00000000-0004-0000-0100-0000FA030000}"/>
    <hyperlink ref="E118" r:id="rId1020" xr:uid="{00000000-0004-0000-0100-0000FB030000}"/>
    <hyperlink ref="E119" r:id="rId1021" xr:uid="{00000000-0004-0000-0100-0000FC030000}"/>
    <hyperlink ref="E120" r:id="rId1022" xr:uid="{00000000-0004-0000-0100-0000FD030000}"/>
    <hyperlink ref="E121" r:id="rId1023" xr:uid="{00000000-0004-0000-0100-0000FE030000}"/>
    <hyperlink ref="E122" r:id="rId1024" xr:uid="{00000000-0004-0000-0100-0000FF030000}"/>
    <hyperlink ref="E123" r:id="rId1025" xr:uid="{00000000-0004-0000-0100-000000040000}"/>
    <hyperlink ref="E124" r:id="rId1026" xr:uid="{00000000-0004-0000-0100-000001040000}"/>
    <hyperlink ref="E125" r:id="rId1027" xr:uid="{00000000-0004-0000-0100-000002040000}"/>
    <hyperlink ref="E126" r:id="rId1028" xr:uid="{00000000-0004-0000-0100-000003040000}"/>
    <hyperlink ref="E127" r:id="rId1029" xr:uid="{00000000-0004-0000-0100-000004040000}"/>
    <hyperlink ref="E128" r:id="rId1030" xr:uid="{00000000-0004-0000-0100-000005040000}"/>
    <hyperlink ref="E129" r:id="rId1031" xr:uid="{00000000-0004-0000-0100-000006040000}"/>
    <hyperlink ref="E130" r:id="rId1032" xr:uid="{00000000-0004-0000-0100-000007040000}"/>
    <hyperlink ref="E131" r:id="rId1033" xr:uid="{00000000-0004-0000-0100-000008040000}"/>
    <hyperlink ref="E132" r:id="rId1034" xr:uid="{00000000-0004-0000-0100-000009040000}"/>
    <hyperlink ref="E133" r:id="rId1035" xr:uid="{00000000-0004-0000-0100-00000A040000}"/>
    <hyperlink ref="E134" r:id="rId1036" xr:uid="{00000000-0004-0000-0100-00000B040000}"/>
    <hyperlink ref="E135" r:id="rId1037" xr:uid="{00000000-0004-0000-0100-00000C040000}"/>
    <hyperlink ref="E136" r:id="rId1038" xr:uid="{00000000-0004-0000-0100-00000D040000}"/>
    <hyperlink ref="E137" r:id="rId1039" xr:uid="{00000000-0004-0000-0100-00000E040000}"/>
    <hyperlink ref="E139" r:id="rId1040" xr:uid="{00000000-0004-0000-0100-00000F040000}"/>
    <hyperlink ref="E140" r:id="rId1041" xr:uid="{00000000-0004-0000-0100-000010040000}"/>
    <hyperlink ref="E141" r:id="rId1042" xr:uid="{00000000-0004-0000-0100-000011040000}"/>
    <hyperlink ref="E142" r:id="rId1043" xr:uid="{00000000-0004-0000-0100-000012040000}"/>
    <hyperlink ref="E143" r:id="rId1044" xr:uid="{00000000-0004-0000-0100-000013040000}"/>
    <hyperlink ref="E144" r:id="rId1045" xr:uid="{00000000-0004-0000-0100-000014040000}"/>
    <hyperlink ref="E145" r:id="rId1046" xr:uid="{00000000-0004-0000-0100-000015040000}"/>
    <hyperlink ref="E146" r:id="rId1047" xr:uid="{00000000-0004-0000-0100-000016040000}"/>
    <hyperlink ref="E147" r:id="rId1048" xr:uid="{00000000-0004-0000-0100-000017040000}"/>
    <hyperlink ref="E148" r:id="rId1049" xr:uid="{00000000-0004-0000-0100-000018040000}"/>
    <hyperlink ref="E149" r:id="rId1050" xr:uid="{00000000-0004-0000-0100-000019040000}"/>
    <hyperlink ref="E150" r:id="rId1051" xr:uid="{00000000-0004-0000-0100-00001A040000}"/>
    <hyperlink ref="E151" r:id="rId1052" xr:uid="{00000000-0004-0000-0100-00001B040000}"/>
    <hyperlink ref="E153" r:id="rId1053" xr:uid="{00000000-0004-0000-0100-00001C040000}"/>
    <hyperlink ref="E154" r:id="rId1054" xr:uid="{00000000-0004-0000-0100-00001D040000}"/>
    <hyperlink ref="E155" r:id="rId1055" xr:uid="{00000000-0004-0000-0100-00001E040000}"/>
    <hyperlink ref="E156" r:id="rId1056" xr:uid="{00000000-0004-0000-0100-00001F040000}"/>
    <hyperlink ref="E157" r:id="rId1057" xr:uid="{00000000-0004-0000-0100-000020040000}"/>
    <hyperlink ref="E158" r:id="rId1058" xr:uid="{00000000-0004-0000-0100-000021040000}"/>
    <hyperlink ref="E159" r:id="rId1059" xr:uid="{00000000-0004-0000-0100-000022040000}"/>
    <hyperlink ref="E160" r:id="rId1060" xr:uid="{00000000-0004-0000-0100-000023040000}"/>
    <hyperlink ref="E161" r:id="rId1061" xr:uid="{00000000-0004-0000-0100-000024040000}"/>
    <hyperlink ref="E162" r:id="rId1062" xr:uid="{00000000-0004-0000-0100-000025040000}"/>
    <hyperlink ref="E163" r:id="rId1063" xr:uid="{00000000-0004-0000-0100-000026040000}"/>
    <hyperlink ref="E164" r:id="rId1064" xr:uid="{00000000-0004-0000-0100-000027040000}"/>
    <hyperlink ref="E165" r:id="rId1065" xr:uid="{00000000-0004-0000-0100-000028040000}"/>
    <hyperlink ref="E166" r:id="rId1066" xr:uid="{00000000-0004-0000-0100-000029040000}"/>
    <hyperlink ref="E167" r:id="rId1067" xr:uid="{00000000-0004-0000-0100-00002A040000}"/>
    <hyperlink ref="E168" r:id="rId1068" xr:uid="{00000000-0004-0000-0100-00002B040000}"/>
    <hyperlink ref="E169" r:id="rId1069" xr:uid="{00000000-0004-0000-0100-00002C040000}"/>
    <hyperlink ref="E171" r:id="rId1070" xr:uid="{00000000-0004-0000-0100-00002D040000}"/>
    <hyperlink ref="E172" r:id="rId1071" xr:uid="{00000000-0004-0000-0100-00002E040000}"/>
    <hyperlink ref="E173" r:id="rId1072" xr:uid="{00000000-0004-0000-0100-00002F040000}"/>
    <hyperlink ref="E174" r:id="rId1073" xr:uid="{00000000-0004-0000-0100-000030040000}"/>
    <hyperlink ref="E175" r:id="rId1074" xr:uid="{00000000-0004-0000-0100-000031040000}"/>
    <hyperlink ref="E176" r:id="rId1075" xr:uid="{00000000-0004-0000-0100-000032040000}"/>
    <hyperlink ref="E177" r:id="rId1076" xr:uid="{00000000-0004-0000-0100-000033040000}"/>
    <hyperlink ref="E178" r:id="rId1077" xr:uid="{00000000-0004-0000-0100-000034040000}"/>
    <hyperlink ref="E179" r:id="rId1078" xr:uid="{00000000-0004-0000-0100-000035040000}"/>
    <hyperlink ref="E180" r:id="rId1079" xr:uid="{00000000-0004-0000-0100-000036040000}"/>
    <hyperlink ref="E181" r:id="rId1080" xr:uid="{00000000-0004-0000-0100-000037040000}"/>
    <hyperlink ref="E183" r:id="rId1081" xr:uid="{00000000-0004-0000-0100-000038040000}"/>
    <hyperlink ref="E184" r:id="rId1082" xr:uid="{00000000-0004-0000-0100-000039040000}"/>
    <hyperlink ref="E185" r:id="rId1083" xr:uid="{00000000-0004-0000-0100-00003A040000}"/>
    <hyperlink ref="E186" r:id="rId1084" xr:uid="{00000000-0004-0000-0100-00003B040000}"/>
    <hyperlink ref="E187" r:id="rId1085" xr:uid="{00000000-0004-0000-0100-00003C040000}"/>
    <hyperlink ref="E188" r:id="rId1086" xr:uid="{00000000-0004-0000-0100-00003D040000}"/>
    <hyperlink ref="E189" r:id="rId1087" xr:uid="{00000000-0004-0000-0100-00003E040000}"/>
    <hyperlink ref="E190" r:id="rId1088" xr:uid="{00000000-0004-0000-0100-00003F040000}"/>
    <hyperlink ref="E191" r:id="rId1089" xr:uid="{00000000-0004-0000-0100-000040040000}"/>
    <hyperlink ref="E192" r:id="rId1090" xr:uid="{00000000-0004-0000-0100-000041040000}"/>
    <hyperlink ref="E193" r:id="rId1091" xr:uid="{00000000-0004-0000-0100-000042040000}"/>
    <hyperlink ref="E194" r:id="rId1092" xr:uid="{00000000-0004-0000-0100-000043040000}"/>
    <hyperlink ref="E195" r:id="rId1093" xr:uid="{00000000-0004-0000-0100-000044040000}"/>
    <hyperlink ref="E196" r:id="rId1094" xr:uid="{00000000-0004-0000-0100-000045040000}"/>
    <hyperlink ref="E197" r:id="rId1095" xr:uid="{00000000-0004-0000-0100-000046040000}"/>
    <hyperlink ref="E199" r:id="rId1096" xr:uid="{00000000-0004-0000-0100-000047040000}"/>
    <hyperlink ref="E200" r:id="rId1097" xr:uid="{00000000-0004-0000-0100-000048040000}"/>
    <hyperlink ref="E201" r:id="rId1098" xr:uid="{00000000-0004-0000-0100-000049040000}"/>
    <hyperlink ref="E202" r:id="rId1099" xr:uid="{00000000-0004-0000-0100-00004A040000}"/>
    <hyperlink ref="E203" r:id="rId1100" xr:uid="{00000000-0004-0000-0100-00004B040000}"/>
    <hyperlink ref="E204" r:id="rId1101" xr:uid="{00000000-0004-0000-0100-00004C040000}"/>
    <hyperlink ref="E205" r:id="rId1102" xr:uid="{00000000-0004-0000-0100-00004D040000}"/>
    <hyperlink ref="E206" r:id="rId1103" xr:uid="{00000000-0004-0000-0100-00004E040000}"/>
    <hyperlink ref="E207" r:id="rId1104" xr:uid="{00000000-0004-0000-0100-00004F040000}"/>
    <hyperlink ref="E208" r:id="rId1105" xr:uid="{00000000-0004-0000-0100-000050040000}"/>
    <hyperlink ref="E209" r:id="rId1106" xr:uid="{00000000-0004-0000-0100-000051040000}"/>
    <hyperlink ref="E210" r:id="rId1107" xr:uid="{00000000-0004-0000-0100-000052040000}"/>
    <hyperlink ref="E211" r:id="rId1108" xr:uid="{00000000-0004-0000-0100-000053040000}"/>
    <hyperlink ref="E212" r:id="rId1109" xr:uid="{00000000-0004-0000-0100-000054040000}"/>
    <hyperlink ref="E213" r:id="rId1110" xr:uid="{00000000-0004-0000-0100-000055040000}"/>
    <hyperlink ref="E214" r:id="rId1111" xr:uid="{00000000-0004-0000-0100-000056040000}"/>
    <hyperlink ref="E215" r:id="rId1112" xr:uid="{00000000-0004-0000-0100-000057040000}"/>
    <hyperlink ref="E216" r:id="rId1113" xr:uid="{00000000-0004-0000-0100-000058040000}"/>
    <hyperlink ref="E217" r:id="rId1114" xr:uid="{00000000-0004-0000-0100-000059040000}"/>
    <hyperlink ref="E218" r:id="rId1115" xr:uid="{00000000-0004-0000-0100-00005A040000}"/>
    <hyperlink ref="E219" r:id="rId1116" xr:uid="{00000000-0004-0000-0100-00005B040000}"/>
    <hyperlink ref="E220" r:id="rId1117" xr:uid="{00000000-0004-0000-0100-00005C040000}"/>
    <hyperlink ref="E221" r:id="rId1118" xr:uid="{00000000-0004-0000-0100-00005D040000}"/>
    <hyperlink ref="E222" r:id="rId1119" xr:uid="{00000000-0004-0000-0100-00005E040000}"/>
    <hyperlink ref="E223" r:id="rId1120" xr:uid="{00000000-0004-0000-0100-00005F040000}"/>
    <hyperlink ref="E224" r:id="rId1121" xr:uid="{00000000-0004-0000-0100-000060040000}"/>
    <hyperlink ref="E225" r:id="rId1122" xr:uid="{00000000-0004-0000-0100-000061040000}"/>
    <hyperlink ref="E226" r:id="rId1123" xr:uid="{00000000-0004-0000-0100-000062040000}"/>
    <hyperlink ref="E227" r:id="rId1124" xr:uid="{00000000-0004-0000-0100-000063040000}"/>
    <hyperlink ref="E228" r:id="rId1125" xr:uid="{00000000-0004-0000-0100-000064040000}"/>
    <hyperlink ref="E229" r:id="rId1126" xr:uid="{00000000-0004-0000-0100-000065040000}"/>
    <hyperlink ref="E231" r:id="rId1127" xr:uid="{00000000-0004-0000-0100-000066040000}"/>
    <hyperlink ref="E232" r:id="rId1128" xr:uid="{00000000-0004-0000-0100-000067040000}"/>
    <hyperlink ref="E233" r:id="rId1129" xr:uid="{00000000-0004-0000-0100-000068040000}"/>
    <hyperlink ref="E234" r:id="rId1130" xr:uid="{00000000-0004-0000-0100-000069040000}"/>
    <hyperlink ref="E235" r:id="rId1131" xr:uid="{00000000-0004-0000-0100-00006A040000}"/>
    <hyperlink ref="E236" r:id="rId1132" xr:uid="{00000000-0004-0000-0100-00006B040000}"/>
    <hyperlink ref="E237" r:id="rId1133" xr:uid="{00000000-0004-0000-0100-00006C040000}"/>
    <hyperlink ref="E238" r:id="rId1134" xr:uid="{00000000-0004-0000-0100-00006D040000}"/>
    <hyperlink ref="E239" r:id="rId1135" xr:uid="{00000000-0004-0000-0100-00006E040000}"/>
    <hyperlink ref="E240" r:id="rId1136" xr:uid="{00000000-0004-0000-0100-00006F040000}"/>
    <hyperlink ref="E241" r:id="rId1137" xr:uid="{00000000-0004-0000-0100-000070040000}"/>
    <hyperlink ref="E242" r:id="rId1138" xr:uid="{00000000-0004-0000-0100-000071040000}"/>
    <hyperlink ref="E243" r:id="rId1139" xr:uid="{00000000-0004-0000-0100-000072040000}"/>
    <hyperlink ref="E244" r:id="rId1140" xr:uid="{00000000-0004-0000-0100-000073040000}"/>
    <hyperlink ref="E245" r:id="rId1141" xr:uid="{00000000-0004-0000-0100-000074040000}"/>
    <hyperlink ref="E246" r:id="rId1142" xr:uid="{00000000-0004-0000-0100-000075040000}"/>
    <hyperlink ref="E247" r:id="rId1143" xr:uid="{00000000-0004-0000-0100-000076040000}"/>
    <hyperlink ref="E248" r:id="rId1144" xr:uid="{00000000-0004-0000-0100-000077040000}"/>
    <hyperlink ref="E249" r:id="rId1145" xr:uid="{00000000-0004-0000-0100-000078040000}"/>
    <hyperlink ref="E250" r:id="rId1146" xr:uid="{00000000-0004-0000-0100-000079040000}"/>
    <hyperlink ref="E251" r:id="rId1147" xr:uid="{00000000-0004-0000-0100-00007A040000}"/>
    <hyperlink ref="E252" r:id="rId1148" xr:uid="{00000000-0004-0000-0100-00007B040000}"/>
    <hyperlink ref="E253" r:id="rId1149" xr:uid="{00000000-0004-0000-0100-00007C040000}"/>
    <hyperlink ref="E254" r:id="rId1150" xr:uid="{00000000-0004-0000-0100-00007D040000}"/>
    <hyperlink ref="E255" r:id="rId1151" xr:uid="{00000000-0004-0000-0100-00007E040000}"/>
    <hyperlink ref="E256" r:id="rId1152" xr:uid="{00000000-0004-0000-0100-00007F040000}"/>
    <hyperlink ref="E257" r:id="rId1153" xr:uid="{00000000-0004-0000-0100-000080040000}"/>
    <hyperlink ref="E258" r:id="rId1154" xr:uid="{00000000-0004-0000-0100-000081040000}"/>
    <hyperlink ref="E259" r:id="rId1155" xr:uid="{00000000-0004-0000-0100-000082040000}"/>
    <hyperlink ref="E260" r:id="rId1156" xr:uid="{00000000-0004-0000-0100-000083040000}"/>
    <hyperlink ref="E261" r:id="rId1157" xr:uid="{00000000-0004-0000-0100-000084040000}"/>
    <hyperlink ref="E262" r:id="rId1158" xr:uid="{00000000-0004-0000-0100-000085040000}"/>
    <hyperlink ref="E263" r:id="rId1159" xr:uid="{00000000-0004-0000-0100-000086040000}"/>
    <hyperlink ref="E264" r:id="rId1160" xr:uid="{00000000-0004-0000-0100-000087040000}"/>
    <hyperlink ref="E265" r:id="rId1161" xr:uid="{00000000-0004-0000-0100-000088040000}"/>
    <hyperlink ref="E266" r:id="rId1162" xr:uid="{00000000-0004-0000-0100-000089040000}"/>
    <hyperlink ref="E267" r:id="rId1163" xr:uid="{00000000-0004-0000-0100-00008A040000}"/>
    <hyperlink ref="E268" r:id="rId1164" xr:uid="{00000000-0004-0000-0100-00008B040000}"/>
    <hyperlink ref="E269" r:id="rId1165" xr:uid="{00000000-0004-0000-0100-00008C040000}"/>
    <hyperlink ref="E270" r:id="rId1166" xr:uid="{00000000-0004-0000-0100-00008D040000}"/>
    <hyperlink ref="E271" r:id="rId1167" xr:uid="{00000000-0004-0000-0100-00008E040000}"/>
    <hyperlink ref="E272" r:id="rId1168" xr:uid="{00000000-0004-0000-0100-00008F040000}"/>
    <hyperlink ref="E273" r:id="rId1169" xr:uid="{00000000-0004-0000-0100-000090040000}"/>
    <hyperlink ref="E274" r:id="rId1170" xr:uid="{00000000-0004-0000-0100-000091040000}"/>
    <hyperlink ref="E275" r:id="rId1171" xr:uid="{00000000-0004-0000-0100-000092040000}"/>
    <hyperlink ref="E276" r:id="rId1172" xr:uid="{00000000-0004-0000-0100-000093040000}"/>
    <hyperlink ref="E277" r:id="rId1173" xr:uid="{00000000-0004-0000-0100-000094040000}"/>
    <hyperlink ref="E278" r:id="rId1174" xr:uid="{00000000-0004-0000-0100-000095040000}"/>
    <hyperlink ref="E279" r:id="rId1175" xr:uid="{00000000-0004-0000-0100-000096040000}"/>
    <hyperlink ref="E280" r:id="rId1176" xr:uid="{00000000-0004-0000-0100-000097040000}"/>
    <hyperlink ref="E281" r:id="rId1177" xr:uid="{00000000-0004-0000-0100-000098040000}"/>
    <hyperlink ref="E282" r:id="rId1178" xr:uid="{00000000-0004-0000-0100-000099040000}"/>
    <hyperlink ref="E283" r:id="rId1179" xr:uid="{00000000-0004-0000-0100-00009A040000}"/>
    <hyperlink ref="E284" r:id="rId1180" xr:uid="{00000000-0004-0000-0100-00009B040000}"/>
    <hyperlink ref="E285" r:id="rId1181" xr:uid="{00000000-0004-0000-0100-00009C040000}"/>
    <hyperlink ref="E286" r:id="rId1182" xr:uid="{00000000-0004-0000-0100-00009D040000}"/>
    <hyperlink ref="E287" r:id="rId1183" xr:uid="{00000000-0004-0000-0100-00009E040000}"/>
    <hyperlink ref="E288" r:id="rId1184" xr:uid="{00000000-0004-0000-0100-00009F040000}"/>
    <hyperlink ref="E289" r:id="rId1185" xr:uid="{00000000-0004-0000-0100-0000A0040000}"/>
    <hyperlink ref="E290" r:id="rId1186" xr:uid="{00000000-0004-0000-0100-0000A1040000}"/>
    <hyperlink ref="E291" r:id="rId1187" xr:uid="{00000000-0004-0000-0100-0000A2040000}"/>
    <hyperlink ref="E292" r:id="rId1188" xr:uid="{00000000-0004-0000-0100-0000A3040000}"/>
    <hyperlink ref="E293" r:id="rId1189" xr:uid="{00000000-0004-0000-0100-0000A4040000}"/>
    <hyperlink ref="E294" r:id="rId1190" xr:uid="{00000000-0004-0000-0100-0000A5040000}"/>
    <hyperlink ref="E295" r:id="rId1191" xr:uid="{00000000-0004-0000-0100-0000A6040000}"/>
    <hyperlink ref="E296" r:id="rId1192" xr:uid="{00000000-0004-0000-0100-0000A7040000}"/>
    <hyperlink ref="E297" r:id="rId1193" xr:uid="{00000000-0004-0000-0100-0000A8040000}"/>
    <hyperlink ref="E298" r:id="rId1194" xr:uid="{00000000-0004-0000-0100-0000A9040000}"/>
    <hyperlink ref="E299" r:id="rId1195" xr:uid="{00000000-0004-0000-0100-0000AA040000}"/>
    <hyperlink ref="E300" r:id="rId1196" xr:uid="{00000000-0004-0000-0100-0000AB040000}"/>
    <hyperlink ref="E301" r:id="rId1197" xr:uid="{00000000-0004-0000-0100-0000AC040000}"/>
    <hyperlink ref="E302" r:id="rId1198" xr:uid="{00000000-0004-0000-0100-0000AD040000}"/>
    <hyperlink ref="E303" r:id="rId1199" xr:uid="{00000000-0004-0000-0100-0000AE040000}"/>
    <hyperlink ref="E304" r:id="rId1200" xr:uid="{00000000-0004-0000-0100-0000AF040000}"/>
    <hyperlink ref="E305" r:id="rId1201" xr:uid="{00000000-0004-0000-0100-0000B0040000}"/>
    <hyperlink ref="E306" r:id="rId1202" xr:uid="{00000000-0004-0000-0100-0000B1040000}"/>
    <hyperlink ref="E307" r:id="rId1203" xr:uid="{00000000-0004-0000-0100-0000B2040000}"/>
    <hyperlink ref="E308" r:id="rId1204" xr:uid="{00000000-0004-0000-0100-0000B3040000}"/>
    <hyperlink ref="E309" r:id="rId1205" xr:uid="{00000000-0004-0000-0100-0000B4040000}"/>
    <hyperlink ref="E310" r:id="rId1206" xr:uid="{00000000-0004-0000-0100-0000B5040000}"/>
    <hyperlink ref="E311" r:id="rId1207" xr:uid="{00000000-0004-0000-0100-0000B6040000}"/>
    <hyperlink ref="E312" r:id="rId1208" xr:uid="{00000000-0004-0000-0100-0000B7040000}"/>
    <hyperlink ref="E313" r:id="rId1209" xr:uid="{00000000-0004-0000-0100-0000B8040000}"/>
    <hyperlink ref="E314" r:id="rId1210" xr:uid="{00000000-0004-0000-0100-0000B9040000}"/>
    <hyperlink ref="E315" r:id="rId1211" xr:uid="{00000000-0004-0000-0100-0000BA040000}"/>
    <hyperlink ref="E316" r:id="rId1212" xr:uid="{00000000-0004-0000-0100-0000BB040000}"/>
    <hyperlink ref="E317" r:id="rId1213" xr:uid="{00000000-0004-0000-0100-0000BC040000}"/>
    <hyperlink ref="E318" r:id="rId1214" xr:uid="{00000000-0004-0000-0100-0000BD040000}"/>
    <hyperlink ref="E319" r:id="rId1215" xr:uid="{00000000-0004-0000-0100-0000BE040000}"/>
    <hyperlink ref="E320" r:id="rId1216" xr:uid="{00000000-0004-0000-0100-0000BF040000}"/>
    <hyperlink ref="E321" r:id="rId1217" xr:uid="{00000000-0004-0000-0100-0000C0040000}"/>
    <hyperlink ref="E322" r:id="rId1218" xr:uid="{00000000-0004-0000-0100-0000C1040000}"/>
    <hyperlink ref="E323" r:id="rId1219" xr:uid="{00000000-0004-0000-0100-0000C2040000}"/>
    <hyperlink ref="E324" r:id="rId1220" xr:uid="{00000000-0004-0000-0100-0000C3040000}"/>
    <hyperlink ref="E325" r:id="rId1221" xr:uid="{00000000-0004-0000-0100-0000C4040000}"/>
    <hyperlink ref="E326" r:id="rId1222" xr:uid="{00000000-0004-0000-0100-0000C5040000}"/>
    <hyperlink ref="E327" r:id="rId1223" xr:uid="{00000000-0004-0000-0100-0000C6040000}"/>
    <hyperlink ref="E328" r:id="rId1224" xr:uid="{00000000-0004-0000-0100-0000C7040000}"/>
    <hyperlink ref="E329" r:id="rId1225" xr:uid="{00000000-0004-0000-0100-0000C8040000}"/>
    <hyperlink ref="E330" r:id="rId1226" xr:uid="{00000000-0004-0000-0100-0000C9040000}"/>
    <hyperlink ref="E331" r:id="rId1227" xr:uid="{00000000-0004-0000-0100-0000CA040000}"/>
    <hyperlink ref="E332" r:id="rId1228" xr:uid="{00000000-0004-0000-0100-0000CB040000}"/>
    <hyperlink ref="E333" r:id="rId1229" xr:uid="{00000000-0004-0000-0100-0000CC040000}"/>
    <hyperlink ref="E334" r:id="rId1230" xr:uid="{00000000-0004-0000-0100-0000CD040000}"/>
    <hyperlink ref="E336" r:id="rId1231" xr:uid="{00000000-0004-0000-0100-0000CE040000}"/>
    <hyperlink ref="E337" r:id="rId1232" xr:uid="{00000000-0004-0000-0100-0000CF040000}"/>
    <hyperlink ref="E338" r:id="rId1233" xr:uid="{00000000-0004-0000-0100-0000D0040000}"/>
    <hyperlink ref="E339" r:id="rId1234" xr:uid="{00000000-0004-0000-0100-0000D1040000}"/>
    <hyperlink ref="E340" r:id="rId1235" xr:uid="{00000000-0004-0000-0100-0000D2040000}"/>
    <hyperlink ref="E341" r:id="rId1236" xr:uid="{00000000-0004-0000-0100-0000D3040000}"/>
    <hyperlink ref="E342" r:id="rId1237" xr:uid="{00000000-0004-0000-0100-0000D4040000}"/>
    <hyperlink ref="E343" r:id="rId1238" xr:uid="{00000000-0004-0000-0100-0000D5040000}"/>
    <hyperlink ref="E344" r:id="rId1239" xr:uid="{00000000-0004-0000-0100-0000D6040000}"/>
    <hyperlink ref="E345" r:id="rId1240" xr:uid="{00000000-0004-0000-0100-0000D7040000}"/>
    <hyperlink ref="E346" r:id="rId1241" xr:uid="{00000000-0004-0000-0100-0000D8040000}"/>
    <hyperlink ref="E347" r:id="rId1242" xr:uid="{00000000-0004-0000-0100-0000D9040000}"/>
    <hyperlink ref="E348" r:id="rId1243" xr:uid="{00000000-0004-0000-0100-0000DA040000}"/>
    <hyperlink ref="E349" r:id="rId1244" xr:uid="{00000000-0004-0000-0100-0000DB040000}"/>
    <hyperlink ref="E350" r:id="rId1245" xr:uid="{00000000-0004-0000-0100-0000DC040000}"/>
    <hyperlink ref="E351" r:id="rId1246" xr:uid="{00000000-0004-0000-0100-0000DD040000}"/>
    <hyperlink ref="E352" r:id="rId1247" xr:uid="{00000000-0004-0000-0100-0000DE040000}"/>
    <hyperlink ref="E353" r:id="rId1248" xr:uid="{00000000-0004-0000-0100-0000DF040000}"/>
    <hyperlink ref="E354" r:id="rId1249" xr:uid="{00000000-0004-0000-0100-0000E0040000}"/>
    <hyperlink ref="E355" r:id="rId1250" xr:uid="{00000000-0004-0000-0100-0000E1040000}"/>
    <hyperlink ref="E356" r:id="rId1251" xr:uid="{00000000-0004-0000-0100-0000E2040000}"/>
    <hyperlink ref="E357" r:id="rId1252" xr:uid="{00000000-0004-0000-0100-0000E3040000}"/>
    <hyperlink ref="E358" r:id="rId1253" xr:uid="{00000000-0004-0000-0100-0000E4040000}"/>
    <hyperlink ref="E359" r:id="rId1254" xr:uid="{00000000-0004-0000-0100-0000E5040000}"/>
    <hyperlink ref="E360" r:id="rId1255" xr:uid="{00000000-0004-0000-0100-0000E6040000}"/>
    <hyperlink ref="E361" r:id="rId1256" xr:uid="{00000000-0004-0000-0100-0000E7040000}"/>
    <hyperlink ref="E362" r:id="rId1257" xr:uid="{00000000-0004-0000-0100-0000E8040000}"/>
    <hyperlink ref="E363" r:id="rId1258" xr:uid="{00000000-0004-0000-0100-0000E9040000}"/>
    <hyperlink ref="E364" r:id="rId1259" xr:uid="{00000000-0004-0000-0100-0000EA040000}"/>
    <hyperlink ref="E365" r:id="rId1260" xr:uid="{00000000-0004-0000-0100-0000EB040000}"/>
    <hyperlink ref="E366" r:id="rId1261" xr:uid="{00000000-0004-0000-0100-0000EC040000}"/>
    <hyperlink ref="E367" r:id="rId1262" xr:uid="{00000000-0004-0000-0100-0000ED040000}"/>
    <hyperlink ref="E368" r:id="rId1263" xr:uid="{00000000-0004-0000-0100-0000EE040000}"/>
    <hyperlink ref="E369" r:id="rId1264" xr:uid="{00000000-0004-0000-0100-0000EF040000}"/>
    <hyperlink ref="E370" r:id="rId1265" xr:uid="{00000000-0004-0000-0100-0000F0040000}"/>
    <hyperlink ref="E371" r:id="rId1266" xr:uid="{00000000-0004-0000-0100-0000F1040000}"/>
    <hyperlink ref="E372" r:id="rId1267" xr:uid="{00000000-0004-0000-0100-0000F2040000}"/>
    <hyperlink ref="E373" r:id="rId1268" xr:uid="{00000000-0004-0000-0100-0000F3040000}"/>
    <hyperlink ref="E374" r:id="rId1269" xr:uid="{00000000-0004-0000-0100-0000F4040000}"/>
    <hyperlink ref="E375" r:id="rId1270" xr:uid="{00000000-0004-0000-0100-0000F5040000}"/>
    <hyperlink ref="E376" r:id="rId1271" xr:uid="{00000000-0004-0000-0100-0000F6040000}"/>
    <hyperlink ref="E377" r:id="rId1272" xr:uid="{00000000-0004-0000-0100-0000F7040000}"/>
    <hyperlink ref="E378" r:id="rId1273" xr:uid="{00000000-0004-0000-0100-0000F8040000}"/>
    <hyperlink ref="E379" r:id="rId1274" xr:uid="{00000000-0004-0000-0100-0000F9040000}"/>
    <hyperlink ref="E380" r:id="rId1275" xr:uid="{00000000-0004-0000-0100-0000FA040000}"/>
    <hyperlink ref="E381" r:id="rId1276" xr:uid="{00000000-0004-0000-0100-0000FB040000}"/>
    <hyperlink ref="E382" r:id="rId1277" xr:uid="{00000000-0004-0000-0100-0000FC040000}"/>
    <hyperlink ref="E383" r:id="rId1278" xr:uid="{00000000-0004-0000-0100-0000FD040000}"/>
    <hyperlink ref="E384" r:id="rId1279" xr:uid="{00000000-0004-0000-0100-0000FE040000}"/>
    <hyperlink ref="E385" r:id="rId1280" xr:uid="{00000000-0004-0000-0100-0000FF040000}"/>
    <hyperlink ref="E388" r:id="rId1281" xr:uid="{00000000-0004-0000-0100-000000050000}"/>
    <hyperlink ref="E389" r:id="rId1282" xr:uid="{00000000-0004-0000-0100-000001050000}"/>
    <hyperlink ref="E390" r:id="rId1283" xr:uid="{00000000-0004-0000-0100-000002050000}"/>
    <hyperlink ref="E391" r:id="rId1284" xr:uid="{00000000-0004-0000-0100-000003050000}"/>
    <hyperlink ref="E392" r:id="rId1285" xr:uid="{00000000-0004-0000-0100-000004050000}"/>
    <hyperlink ref="E393" r:id="rId1286" xr:uid="{00000000-0004-0000-0100-000005050000}"/>
    <hyperlink ref="E394" r:id="rId1287" xr:uid="{00000000-0004-0000-0100-000006050000}"/>
    <hyperlink ref="E397" r:id="rId1288" xr:uid="{00000000-0004-0000-0100-000007050000}"/>
    <hyperlink ref="E398" r:id="rId1289" xr:uid="{00000000-0004-0000-0100-000008050000}"/>
    <hyperlink ref="E399" r:id="rId1290" xr:uid="{00000000-0004-0000-0100-000009050000}"/>
    <hyperlink ref="E400" r:id="rId1291" xr:uid="{00000000-0004-0000-0100-00000A050000}"/>
    <hyperlink ref="E402" r:id="rId1292" xr:uid="{00000000-0004-0000-0100-00000B050000}"/>
    <hyperlink ref="E403" r:id="rId1293" xr:uid="{00000000-0004-0000-0100-00000C050000}"/>
    <hyperlink ref="E404" r:id="rId1294" xr:uid="{00000000-0004-0000-0100-00000D050000}"/>
    <hyperlink ref="E406" r:id="rId1295" xr:uid="{00000000-0004-0000-0100-00000E050000}"/>
    <hyperlink ref="E407" r:id="rId1296" xr:uid="{00000000-0004-0000-0100-00000F050000}"/>
    <hyperlink ref="E408" r:id="rId1297" xr:uid="{00000000-0004-0000-0100-000010050000}"/>
    <hyperlink ref="E409" r:id="rId1298" xr:uid="{00000000-0004-0000-0100-000011050000}"/>
    <hyperlink ref="E410" r:id="rId1299" xr:uid="{00000000-0004-0000-0100-000012050000}"/>
    <hyperlink ref="E411" r:id="rId1300" xr:uid="{00000000-0004-0000-0100-000013050000}"/>
    <hyperlink ref="E412" r:id="rId1301" xr:uid="{00000000-0004-0000-0100-000014050000}"/>
    <hyperlink ref="E413" r:id="rId1302" xr:uid="{00000000-0004-0000-0100-000015050000}"/>
    <hyperlink ref="E414" r:id="rId1303" xr:uid="{00000000-0004-0000-0100-000016050000}"/>
    <hyperlink ref="E415" r:id="rId1304" xr:uid="{00000000-0004-0000-0100-000017050000}"/>
    <hyperlink ref="E416" r:id="rId1305" xr:uid="{00000000-0004-0000-0100-000018050000}"/>
    <hyperlink ref="E417" r:id="rId1306" xr:uid="{00000000-0004-0000-0100-000019050000}"/>
    <hyperlink ref="E418" r:id="rId1307" xr:uid="{00000000-0004-0000-0100-00001A050000}"/>
    <hyperlink ref="E420" r:id="rId1308" xr:uid="{00000000-0004-0000-0100-00001B050000}"/>
    <hyperlink ref="E421" r:id="rId1309" xr:uid="{00000000-0004-0000-0100-00001C050000}"/>
    <hyperlink ref="E422" r:id="rId1310" xr:uid="{00000000-0004-0000-0100-00001D050000}"/>
    <hyperlink ref="E423" r:id="rId1311" xr:uid="{00000000-0004-0000-0100-00001E050000}"/>
    <hyperlink ref="E424" r:id="rId1312" xr:uid="{00000000-0004-0000-0100-00001F050000}"/>
    <hyperlink ref="E426" r:id="rId1313" xr:uid="{00000000-0004-0000-0100-000020050000}"/>
    <hyperlink ref="E427" r:id="rId1314" xr:uid="{00000000-0004-0000-0100-000021050000}"/>
    <hyperlink ref="E428" r:id="rId1315" xr:uid="{00000000-0004-0000-0100-000022050000}"/>
    <hyperlink ref="E429" r:id="rId1316" xr:uid="{00000000-0004-0000-0100-000023050000}"/>
    <hyperlink ref="E430" r:id="rId1317" xr:uid="{00000000-0004-0000-0100-000024050000}"/>
    <hyperlink ref="E431" r:id="rId1318" xr:uid="{00000000-0004-0000-0100-000025050000}"/>
    <hyperlink ref="E432" r:id="rId1319" xr:uid="{00000000-0004-0000-0100-000026050000}"/>
    <hyperlink ref="E433" r:id="rId1320" xr:uid="{00000000-0004-0000-0100-000027050000}"/>
    <hyperlink ref="E434" r:id="rId1321" xr:uid="{00000000-0004-0000-0100-000028050000}"/>
    <hyperlink ref="E436" r:id="rId1322" xr:uid="{00000000-0004-0000-0100-000029050000}"/>
    <hyperlink ref="E437" r:id="rId1323" xr:uid="{00000000-0004-0000-0100-00002A050000}"/>
    <hyperlink ref="E438" r:id="rId1324" xr:uid="{00000000-0004-0000-0100-00002B050000}"/>
    <hyperlink ref="E439" r:id="rId1325" xr:uid="{00000000-0004-0000-0100-00002C050000}"/>
    <hyperlink ref="E440" r:id="rId1326" xr:uid="{00000000-0004-0000-0100-00002D050000}"/>
    <hyperlink ref="E441" r:id="rId1327" xr:uid="{00000000-0004-0000-0100-00002E050000}"/>
    <hyperlink ref="E442" r:id="rId1328" xr:uid="{00000000-0004-0000-0100-00002F050000}"/>
    <hyperlink ref="E443" r:id="rId1329" xr:uid="{00000000-0004-0000-0100-000030050000}"/>
    <hyperlink ref="E444" r:id="rId1330" xr:uid="{00000000-0004-0000-0100-000031050000}"/>
    <hyperlink ref="E445" r:id="rId1331" xr:uid="{00000000-0004-0000-0100-000032050000}"/>
    <hyperlink ref="E446" r:id="rId1332" xr:uid="{00000000-0004-0000-0100-000033050000}"/>
    <hyperlink ref="E447" r:id="rId1333" xr:uid="{00000000-0004-0000-0100-000034050000}"/>
    <hyperlink ref="E448" r:id="rId1334" xr:uid="{00000000-0004-0000-0100-000035050000}"/>
    <hyperlink ref="E450" r:id="rId1335" xr:uid="{00000000-0004-0000-0100-000036050000}"/>
    <hyperlink ref="E451" r:id="rId1336" xr:uid="{00000000-0004-0000-0100-000037050000}"/>
    <hyperlink ref="E452" r:id="rId1337" xr:uid="{00000000-0004-0000-0100-000038050000}"/>
    <hyperlink ref="E453" r:id="rId1338" xr:uid="{00000000-0004-0000-0100-000039050000}"/>
    <hyperlink ref="E454" r:id="rId1339" xr:uid="{00000000-0004-0000-0100-00003A050000}"/>
    <hyperlink ref="E456" r:id="rId1340" xr:uid="{00000000-0004-0000-0100-00003B050000}"/>
    <hyperlink ref="E457" r:id="rId1341" xr:uid="{00000000-0004-0000-0100-00003C050000}"/>
    <hyperlink ref="E458" r:id="rId1342" xr:uid="{00000000-0004-0000-0100-00003D050000}"/>
    <hyperlink ref="E459" r:id="rId1343" xr:uid="{00000000-0004-0000-0100-00003E050000}"/>
    <hyperlink ref="E460" r:id="rId1344" xr:uid="{00000000-0004-0000-0100-00003F050000}"/>
    <hyperlink ref="E461" r:id="rId1345" xr:uid="{00000000-0004-0000-0100-000040050000}"/>
    <hyperlink ref="E462" r:id="rId1346" xr:uid="{00000000-0004-0000-0100-000041050000}"/>
    <hyperlink ref="E463" r:id="rId1347" xr:uid="{00000000-0004-0000-0100-000042050000}"/>
    <hyperlink ref="E464" r:id="rId1348" xr:uid="{00000000-0004-0000-0100-000043050000}"/>
    <hyperlink ref="E465" r:id="rId1349" xr:uid="{00000000-0004-0000-0100-000044050000}"/>
    <hyperlink ref="E466" r:id="rId1350" xr:uid="{00000000-0004-0000-0100-000045050000}"/>
    <hyperlink ref="E467" r:id="rId1351" xr:uid="{00000000-0004-0000-0100-000046050000}"/>
    <hyperlink ref="E468" r:id="rId1352" xr:uid="{00000000-0004-0000-0100-000047050000}"/>
    <hyperlink ref="E469" r:id="rId1353" xr:uid="{00000000-0004-0000-0100-000048050000}"/>
    <hyperlink ref="E470" r:id="rId1354" xr:uid="{00000000-0004-0000-0100-000049050000}"/>
    <hyperlink ref="E471" r:id="rId1355" xr:uid="{00000000-0004-0000-0100-00004A050000}"/>
    <hyperlink ref="E472" r:id="rId1356" xr:uid="{00000000-0004-0000-0100-00004B050000}"/>
    <hyperlink ref="E473" r:id="rId1357" xr:uid="{00000000-0004-0000-0100-00004C050000}"/>
    <hyperlink ref="E474" r:id="rId1358" xr:uid="{00000000-0004-0000-0100-00004D050000}"/>
    <hyperlink ref="E475" r:id="rId1359" xr:uid="{00000000-0004-0000-0100-00004E050000}"/>
    <hyperlink ref="E477" r:id="rId1360" xr:uid="{00000000-0004-0000-0100-00004F050000}"/>
    <hyperlink ref="E478" r:id="rId1361" xr:uid="{00000000-0004-0000-0100-000050050000}"/>
    <hyperlink ref="E481" r:id="rId1362" xr:uid="{00000000-0004-0000-0100-000051050000}"/>
    <hyperlink ref="E482" r:id="rId1363" xr:uid="{00000000-0004-0000-0100-000052050000}"/>
    <hyperlink ref="E483" r:id="rId1364" xr:uid="{00000000-0004-0000-0100-000053050000}"/>
    <hyperlink ref="E484" r:id="rId1365" xr:uid="{00000000-0004-0000-0100-000054050000}"/>
    <hyperlink ref="E485" r:id="rId1366" xr:uid="{00000000-0004-0000-0100-000055050000}"/>
    <hyperlink ref="E486" r:id="rId1367" xr:uid="{00000000-0004-0000-0100-000056050000}"/>
    <hyperlink ref="E487" r:id="rId1368" xr:uid="{00000000-0004-0000-0100-000057050000}"/>
    <hyperlink ref="E489" r:id="rId1369" xr:uid="{00000000-0004-0000-0100-000058050000}"/>
    <hyperlink ref="E490" r:id="rId1370" xr:uid="{00000000-0004-0000-0100-000059050000}"/>
    <hyperlink ref="E491" r:id="rId1371" xr:uid="{00000000-0004-0000-0100-00005A050000}"/>
    <hyperlink ref="E492" r:id="rId1372" xr:uid="{00000000-0004-0000-0100-00005B050000}"/>
    <hyperlink ref="E493" r:id="rId1373" xr:uid="{00000000-0004-0000-0100-00005C050000}"/>
    <hyperlink ref="E495" r:id="rId1374" xr:uid="{00000000-0004-0000-0100-00005D050000}"/>
    <hyperlink ref="E498" r:id="rId1375" xr:uid="{00000000-0004-0000-0100-00005E050000}"/>
    <hyperlink ref="E499" r:id="rId1376" xr:uid="{00000000-0004-0000-0100-00005F050000}"/>
    <hyperlink ref="E500" r:id="rId1377" xr:uid="{00000000-0004-0000-0100-000060050000}"/>
    <hyperlink ref="E501" r:id="rId1378" xr:uid="{00000000-0004-0000-0100-000061050000}"/>
    <hyperlink ref="E502" r:id="rId1379" xr:uid="{00000000-0004-0000-0100-000062050000}"/>
    <hyperlink ref="E503" r:id="rId1380" xr:uid="{00000000-0004-0000-0100-000063050000}"/>
    <hyperlink ref="E504" r:id="rId1381" xr:uid="{00000000-0004-0000-0100-000064050000}"/>
    <hyperlink ref="E506" r:id="rId1382" xr:uid="{00000000-0004-0000-0100-000065050000}"/>
    <hyperlink ref="E507" r:id="rId1383" xr:uid="{00000000-0004-0000-0100-000066050000}"/>
    <hyperlink ref="E508" r:id="rId1384" xr:uid="{00000000-0004-0000-0100-000067050000}"/>
    <hyperlink ref="E509" r:id="rId1385" xr:uid="{00000000-0004-0000-0100-000068050000}"/>
    <hyperlink ref="E510" r:id="rId1386" xr:uid="{00000000-0004-0000-0100-000069050000}"/>
    <hyperlink ref="E511" r:id="rId1387" xr:uid="{00000000-0004-0000-0100-00006A050000}"/>
    <hyperlink ref="E512" r:id="rId1388" xr:uid="{00000000-0004-0000-0100-00006B050000}"/>
    <hyperlink ref="E513" r:id="rId1389" xr:uid="{00000000-0004-0000-0100-00006C050000}"/>
    <hyperlink ref="E514" r:id="rId1390" xr:uid="{00000000-0004-0000-0100-00006D050000}"/>
    <hyperlink ref="E516" r:id="rId1391" xr:uid="{00000000-0004-0000-0100-00006E050000}"/>
    <hyperlink ref="E517" r:id="rId1392" xr:uid="{00000000-0004-0000-0100-00006F050000}"/>
    <hyperlink ref="E518" r:id="rId1393" xr:uid="{00000000-0004-0000-0100-000070050000}"/>
    <hyperlink ref="E519" r:id="rId1394" xr:uid="{00000000-0004-0000-0100-000071050000}"/>
    <hyperlink ref="E520" r:id="rId1395" xr:uid="{00000000-0004-0000-0100-000072050000}"/>
    <hyperlink ref="E521" r:id="rId1396" xr:uid="{00000000-0004-0000-0100-000073050000}"/>
    <hyperlink ref="E522" r:id="rId1397" xr:uid="{00000000-0004-0000-0100-000074050000}"/>
    <hyperlink ref="E523" r:id="rId1398" xr:uid="{00000000-0004-0000-0100-000075050000}"/>
    <hyperlink ref="E524" r:id="rId1399" xr:uid="{00000000-0004-0000-0100-000076050000}"/>
    <hyperlink ref="E525" r:id="rId1400" xr:uid="{00000000-0004-0000-0100-000077050000}"/>
    <hyperlink ref="E527" r:id="rId1401" xr:uid="{00000000-0004-0000-0100-000078050000}"/>
    <hyperlink ref="E528" r:id="rId1402" xr:uid="{00000000-0004-0000-0100-000079050000}"/>
    <hyperlink ref="E529" r:id="rId1403" xr:uid="{00000000-0004-0000-0100-00007A050000}"/>
    <hyperlink ref="E530" r:id="rId1404" xr:uid="{00000000-0004-0000-0100-00007B050000}"/>
    <hyperlink ref="E531" r:id="rId1405" xr:uid="{00000000-0004-0000-0100-00007C050000}"/>
    <hyperlink ref="E532" r:id="rId1406" xr:uid="{00000000-0004-0000-0100-00007D050000}"/>
    <hyperlink ref="E533" r:id="rId1407" xr:uid="{00000000-0004-0000-0100-00007E050000}"/>
    <hyperlink ref="E534" r:id="rId1408" xr:uid="{00000000-0004-0000-0100-00007F050000}"/>
    <hyperlink ref="E535" r:id="rId1409" xr:uid="{00000000-0004-0000-0100-000080050000}"/>
    <hyperlink ref="E536" r:id="rId1410" xr:uid="{00000000-0004-0000-0100-000081050000}"/>
    <hyperlink ref="E537" r:id="rId1411" xr:uid="{00000000-0004-0000-0100-000082050000}"/>
    <hyperlink ref="E538" r:id="rId1412" xr:uid="{00000000-0004-0000-0100-000083050000}"/>
    <hyperlink ref="E539" r:id="rId1413" xr:uid="{00000000-0004-0000-0100-000084050000}"/>
    <hyperlink ref="E540" r:id="rId1414" xr:uid="{00000000-0004-0000-0100-000085050000}"/>
    <hyperlink ref="E541" r:id="rId1415" xr:uid="{00000000-0004-0000-0100-000086050000}"/>
    <hyperlink ref="E542" r:id="rId1416" xr:uid="{00000000-0004-0000-0100-000087050000}"/>
    <hyperlink ref="E543" r:id="rId1417" xr:uid="{00000000-0004-0000-0100-000088050000}"/>
    <hyperlink ref="E544" r:id="rId1418" xr:uid="{00000000-0004-0000-0100-000089050000}"/>
    <hyperlink ref="E545" r:id="rId1419" xr:uid="{00000000-0004-0000-0100-00008A050000}"/>
    <hyperlink ref="E546" r:id="rId1420" xr:uid="{00000000-0004-0000-0100-00008B050000}"/>
    <hyperlink ref="E547" r:id="rId1421" xr:uid="{00000000-0004-0000-0100-00008C050000}"/>
    <hyperlink ref="E549" r:id="rId1422" xr:uid="{00000000-0004-0000-0100-00008D050000}"/>
    <hyperlink ref="E550" r:id="rId1423" xr:uid="{00000000-0004-0000-0100-00008E050000}"/>
    <hyperlink ref="E551" r:id="rId1424" xr:uid="{00000000-0004-0000-0100-00008F050000}"/>
    <hyperlink ref="E552" r:id="rId1425" xr:uid="{00000000-0004-0000-0100-000090050000}"/>
    <hyperlink ref="E553" r:id="rId1426" xr:uid="{00000000-0004-0000-0100-000091050000}"/>
    <hyperlink ref="E554" r:id="rId1427" xr:uid="{00000000-0004-0000-0100-000092050000}"/>
    <hyperlink ref="E555" r:id="rId1428" xr:uid="{00000000-0004-0000-0100-000093050000}"/>
    <hyperlink ref="E556" r:id="rId1429" xr:uid="{00000000-0004-0000-0100-000094050000}"/>
    <hyperlink ref="E557" r:id="rId1430" xr:uid="{00000000-0004-0000-0100-000095050000}"/>
    <hyperlink ref="E558" r:id="rId1431" xr:uid="{00000000-0004-0000-0100-000096050000}"/>
    <hyperlink ref="E559" r:id="rId1432" xr:uid="{00000000-0004-0000-0100-000097050000}"/>
    <hyperlink ref="E560" r:id="rId1433" xr:uid="{00000000-0004-0000-0100-000098050000}"/>
    <hyperlink ref="E561" r:id="rId1434" xr:uid="{00000000-0004-0000-0100-000099050000}"/>
    <hyperlink ref="E562" r:id="rId1435" xr:uid="{00000000-0004-0000-0100-00009A050000}"/>
    <hyperlink ref="E563" r:id="rId1436" xr:uid="{00000000-0004-0000-0100-00009B050000}"/>
    <hyperlink ref="E565" r:id="rId1437" xr:uid="{00000000-0004-0000-0100-00009C050000}"/>
    <hyperlink ref="E567" r:id="rId1438" xr:uid="{00000000-0004-0000-0100-00009D050000}"/>
    <hyperlink ref="E568" r:id="rId1439" xr:uid="{00000000-0004-0000-0100-00009E050000}"/>
    <hyperlink ref="E569" r:id="rId1440" xr:uid="{00000000-0004-0000-0100-00009F050000}"/>
    <hyperlink ref="E570" r:id="rId1441" xr:uid="{00000000-0004-0000-0100-0000A0050000}"/>
    <hyperlink ref="E571" r:id="rId1442" xr:uid="{00000000-0004-0000-0100-0000A1050000}"/>
    <hyperlink ref="E572" r:id="rId1443" xr:uid="{00000000-0004-0000-0100-0000A2050000}"/>
    <hyperlink ref="E573" r:id="rId1444" xr:uid="{00000000-0004-0000-0100-0000A3050000}"/>
    <hyperlink ref="E574" r:id="rId1445" xr:uid="{00000000-0004-0000-0100-0000A4050000}"/>
    <hyperlink ref="E575" r:id="rId1446" xr:uid="{00000000-0004-0000-0100-0000A5050000}"/>
    <hyperlink ref="E576" r:id="rId1447" xr:uid="{00000000-0004-0000-0100-0000A6050000}"/>
    <hyperlink ref="E577" r:id="rId1448" xr:uid="{00000000-0004-0000-0100-0000A7050000}"/>
    <hyperlink ref="E578" r:id="rId1449" xr:uid="{00000000-0004-0000-0100-0000A8050000}"/>
    <hyperlink ref="E579" r:id="rId1450" xr:uid="{00000000-0004-0000-0100-0000A9050000}"/>
    <hyperlink ref="E580" r:id="rId1451" xr:uid="{00000000-0004-0000-0100-0000AA050000}"/>
    <hyperlink ref="E582" r:id="rId1452" xr:uid="{00000000-0004-0000-0100-0000AB050000}"/>
    <hyperlink ref="E583" r:id="rId1453" xr:uid="{00000000-0004-0000-0100-0000AC050000}"/>
    <hyperlink ref="E584" r:id="rId1454" xr:uid="{00000000-0004-0000-0100-0000AD050000}"/>
    <hyperlink ref="E585" r:id="rId1455" xr:uid="{00000000-0004-0000-0100-0000AE050000}"/>
    <hyperlink ref="E586" r:id="rId1456" xr:uid="{00000000-0004-0000-0100-0000AF050000}"/>
    <hyperlink ref="E587" r:id="rId1457" xr:uid="{00000000-0004-0000-0100-0000B0050000}"/>
    <hyperlink ref="E588" r:id="rId1458" xr:uid="{00000000-0004-0000-0100-0000B1050000}"/>
    <hyperlink ref="E589" r:id="rId1459" xr:uid="{00000000-0004-0000-0100-0000B2050000}"/>
    <hyperlink ref="E590" r:id="rId1460" xr:uid="{00000000-0004-0000-0100-0000B3050000}"/>
    <hyperlink ref="E591" r:id="rId1461" xr:uid="{00000000-0004-0000-0100-0000B4050000}"/>
    <hyperlink ref="E592" r:id="rId1462" xr:uid="{00000000-0004-0000-0100-0000B5050000}"/>
    <hyperlink ref="E593" r:id="rId1463" xr:uid="{00000000-0004-0000-0100-0000B6050000}"/>
    <hyperlink ref="E594" r:id="rId1464" xr:uid="{00000000-0004-0000-0100-0000B7050000}"/>
    <hyperlink ref="E595" r:id="rId1465" xr:uid="{00000000-0004-0000-0100-0000B8050000}"/>
    <hyperlink ref="E596" r:id="rId1466" xr:uid="{00000000-0004-0000-0100-0000B9050000}"/>
    <hyperlink ref="E597" r:id="rId1467" xr:uid="{00000000-0004-0000-0100-0000BA050000}"/>
    <hyperlink ref="E598" r:id="rId1468" xr:uid="{00000000-0004-0000-0100-0000BB050000}"/>
    <hyperlink ref="E599" r:id="rId1469" xr:uid="{00000000-0004-0000-0100-0000BC050000}"/>
    <hyperlink ref="E600" r:id="rId1470" xr:uid="{00000000-0004-0000-0100-0000BD050000}"/>
    <hyperlink ref="E601" r:id="rId1471" xr:uid="{00000000-0004-0000-0100-0000BE050000}"/>
    <hyperlink ref="E602" r:id="rId1472" xr:uid="{00000000-0004-0000-0100-0000BF050000}"/>
    <hyperlink ref="E603" r:id="rId1473" xr:uid="{00000000-0004-0000-0100-0000C0050000}"/>
    <hyperlink ref="E604" r:id="rId1474" xr:uid="{00000000-0004-0000-0100-0000C1050000}"/>
    <hyperlink ref="E605" r:id="rId1475" xr:uid="{00000000-0004-0000-0100-0000C2050000}"/>
    <hyperlink ref="E606" r:id="rId1476" xr:uid="{00000000-0004-0000-0100-0000C3050000}"/>
    <hyperlink ref="E607" r:id="rId1477" xr:uid="{00000000-0004-0000-0100-0000C4050000}"/>
    <hyperlink ref="E609" r:id="rId1478" xr:uid="{00000000-0004-0000-0100-0000C5050000}"/>
    <hyperlink ref="E610" r:id="rId1479" xr:uid="{00000000-0004-0000-0100-0000C6050000}"/>
    <hyperlink ref="E611" r:id="rId1480" xr:uid="{00000000-0004-0000-0100-0000C7050000}"/>
    <hyperlink ref="E612" r:id="rId1481" xr:uid="{00000000-0004-0000-0100-0000C8050000}"/>
    <hyperlink ref="E613" r:id="rId1482" xr:uid="{00000000-0004-0000-0100-0000C9050000}"/>
    <hyperlink ref="E615" r:id="rId1483" xr:uid="{00000000-0004-0000-0100-0000CA050000}"/>
    <hyperlink ref="E616" r:id="rId1484" xr:uid="{00000000-0004-0000-0100-0000CB050000}"/>
    <hyperlink ref="E617" r:id="rId1485" xr:uid="{00000000-0004-0000-0100-0000CC050000}"/>
    <hyperlink ref="E618" r:id="rId1486" xr:uid="{00000000-0004-0000-0100-0000CD050000}"/>
    <hyperlink ref="E619" r:id="rId1487" xr:uid="{00000000-0004-0000-0100-0000CE050000}"/>
    <hyperlink ref="E620" r:id="rId1488" xr:uid="{00000000-0004-0000-0100-0000CF050000}"/>
    <hyperlink ref="E621" r:id="rId1489" xr:uid="{00000000-0004-0000-0100-0000D0050000}"/>
    <hyperlink ref="E622" r:id="rId1490" xr:uid="{00000000-0004-0000-0100-0000D1050000}"/>
    <hyperlink ref="E623" r:id="rId1491" xr:uid="{00000000-0004-0000-0100-0000D2050000}"/>
    <hyperlink ref="E624" r:id="rId1492" xr:uid="{00000000-0004-0000-0100-0000D3050000}"/>
    <hyperlink ref="E625" r:id="rId1493" xr:uid="{00000000-0004-0000-0100-0000D4050000}"/>
    <hyperlink ref="E626" r:id="rId1494" xr:uid="{00000000-0004-0000-0100-0000D5050000}"/>
    <hyperlink ref="E627" r:id="rId1495" xr:uid="{00000000-0004-0000-0100-0000D6050000}"/>
    <hyperlink ref="E628" r:id="rId1496" xr:uid="{00000000-0004-0000-0100-0000D7050000}"/>
    <hyperlink ref="E629" r:id="rId1497" xr:uid="{00000000-0004-0000-0100-0000D8050000}"/>
    <hyperlink ref="E630" r:id="rId1498" xr:uid="{00000000-0004-0000-0100-0000D9050000}"/>
    <hyperlink ref="E631" r:id="rId1499" xr:uid="{00000000-0004-0000-0100-0000DA050000}"/>
    <hyperlink ref="E632" r:id="rId1500" xr:uid="{00000000-0004-0000-0100-0000DB050000}"/>
    <hyperlink ref="E633" r:id="rId1501" xr:uid="{00000000-0004-0000-0100-0000DC050000}"/>
    <hyperlink ref="E634" r:id="rId1502" xr:uid="{00000000-0004-0000-0100-0000DD050000}"/>
    <hyperlink ref="E635" r:id="rId1503" xr:uid="{00000000-0004-0000-0100-0000DE050000}"/>
    <hyperlink ref="E636" r:id="rId1504" xr:uid="{00000000-0004-0000-0100-0000DF050000}"/>
    <hyperlink ref="E637" r:id="rId1505" xr:uid="{00000000-0004-0000-0100-0000E0050000}"/>
    <hyperlink ref="E638" r:id="rId1506" xr:uid="{00000000-0004-0000-0100-0000E1050000}"/>
    <hyperlink ref="E639" r:id="rId1507" xr:uid="{00000000-0004-0000-0100-0000E2050000}"/>
    <hyperlink ref="E640" r:id="rId1508" xr:uid="{00000000-0004-0000-0100-0000E3050000}"/>
    <hyperlink ref="E641" r:id="rId1509" xr:uid="{00000000-0004-0000-0100-0000E4050000}"/>
    <hyperlink ref="E642" r:id="rId1510" xr:uid="{00000000-0004-0000-0100-0000E5050000}"/>
    <hyperlink ref="E643" r:id="rId1511" xr:uid="{00000000-0004-0000-0100-0000E6050000}"/>
    <hyperlink ref="E645" r:id="rId1512" xr:uid="{00000000-0004-0000-0100-0000E7050000}"/>
    <hyperlink ref="E646" r:id="rId1513" xr:uid="{00000000-0004-0000-0100-0000E8050000}"/>
    <hyperlink ref="E647" r:id="rId1514" xr:uid="{00000000-0004-0000-0100-0000E9050000}"/>
    <hyperlink ref="E648" r:id="rId1515" xr:uid="{00000000-0004-0000-0100-0000EA050000}"/>
    <hyperlink ref="E649" r:id="rId1516" xr:uid="{00000000-0004-0000-0100-0000EB050000}"/>
    <hyperlink ref="E650" r:id="rId1517" xr:uid="{00000000-0004-0000-0100-0000EC050000}"/>
    <hyperlink ref="E651" r:id="rId1518" xr:uid="{00000000-0004-0000-0100-0000ED050000}"/>
    <hyperlink ref="E652" r:id="rId1519" xr:uid="{00000000-0004-0000-0100-0000EE050000}"/>
    <hyperlink ref="E653" r:id="rId1520" xr:uid="{00000000-0004-0000-0100-0000EF050000}"/>
    <hyperlink ref="E654" r:id="rId1521" xr:uid="{00000000-0004-0000-0100-0000F0050000}"/>
    <hyperlink ref="E655" r:id="rId1522" xr:uid="{00000000-0004-0000-0100-0000F1050000}"/>
    <hyperlink ref="E656" r:id="rId1523" xr:uid="{00000000-0004-0000-0100-0000F2050000}"/>
    <hyperlink ref="E657" r:id="rId1524" xr:uid="{00000000-0004-0000-0100-0000F3050000}"/>
    <hyperlink ref="E659" r:id="rId1525" xr:uid="{00000000-0004-0000-0100-0000F4050000}"/>
    <hyperlink ref="E660" r:id="rId1526" xr:uid="{00000000-0004-0000-0100-0000F5050000}"/>
    <hyperlink ref="E661" r:id="rId1527" xr:uid="{00000000-0004-0000-0100-0000F6050000}"/>
    <hyperlink ref="E662" r:id="rId1528" xr:uid="{00000000-0004-0000-0100-0000F7050000}"/>
    <hyperlink ref="E663" r:id="rId1529" xr:uid="{00000000-0004-0000-0100-0000F8050000}"/>
    <hyperlink ref="E665" r:id="rId1530" xr:uid="{00000000-0004-0000-0100-0000F9050000}"/>
    <hyperlink ref="E666" r:id="rId1531" xr:uid="{00000000-0004-0000-0100-0000FA050000}"/>
    <hyperlink ref="E667" r:id="rId1532" xr:uid="{00000000-0004-0000-0100-0000FB050000}"/>
    <hyperlink ref="E668" r:id="rId1533" xr:uid="{00000000-0004-0000-0100-0000FC050000}"/>
    <hyperlink ref="E669" r:id="rId1534" xr:uid="{00000000-0004-0000-0100-0000FD050000}"/>
    <hyperlink ref="E670" r:id="rId1535" xr:uid="{00000000-0004-0000-0100-0000FE050000}"/>
    <hyperlink ref="E671" r:id="rId1536" xr:uid="{00000000-0004-0000-0100-0000FF050000}"/>
    <hyperlink ref="E672" r:id="rId1537" xr:uid="{00000000-0004-0000-0100-000000060000}"/>
    <hyperlink ref="E673" r:id="rId1538" xr:uid="{00000000-0004-0000-0100-000001060000}"/>
    <hyperlink ref="E674" r:id="rId1539" xr:uid="{00000000-0004-0000-0100-000002060000}"/>
    <hyperlink ref="E675" r:id="rId1540" xr:uid="{00000000-0004-0000-0100-000003060000}"/>
    <hyperlink ref="E676" r:id="rId1541" xr:uid="{00000000-0004-0000-0100-000004060000}"/>
    <hyperlink ref="E677" r:id="rId1542" xr:uid="{00000000-0004-0000-0100-000005060000}"/>
    <hyperlink ref="E678" r:id="rId1543" xr:uid="{00000000-0004-0000-0100-000006060000}"/>
    <hyperlink ref="E679" r:id="rId1544" xr:uid="{00000000-0004-0000-0100-000007060000}"/>
    <hyperlink ref="E680" r:id="rId1545" xr:uid="{00000000-0004-0000-0100-000008060000}"/>
    <hyperlink ref="E681" r:id="rId1546" xr:uid="{00000000-0004-0000-0100-000009060000}"/>
    <hyperlink ref="E682" r:id="rId1547" xr:uid="{00000000-0004-0000-0100-00000A060000}"/>
    <hyperlink ref="E683" r:id="rId1548" xr:uid="{00000000-0004-0000-0100-00000B060000}"/>
    <hyperlink ref="E684" r:id="rId1549" xr:uid="{00000000-0004-0000-0100-00000C060000}"/>
    <hyperlink ref="E685" r:id="rId1550" xr:uid="{00000000-0004-0000-0100-00000D060000}"/>
    <hyperlink ref="E686" r:id="rId1551" xr:uid="{00000000-0004-0000-0100-00000E060000}"/>
    <hyperlink ref="E687" r:id="rId1552" xr:uid="{00000000-0004-0000-0100-00000F060000}"/>
    <hyperlink ref="E688" r:id="rId1553" xr:uid="{00000000-0004-0000-0100-000010060000}"/>
    <hyperlink ref="E689" r:id="rId1554" xr:uid="{00000000-0004-0000-0100-000011060000}"/>
    <hyperlink ref="E690" r:id="rId1555" xr:uid="{00000000-0004-0000-0100-000012060000}"/>
    <hyperlink ref="E691" r:id="rId1556" xr:uid="{00000000-0004-0000-0100-000013060000}"/>
    <hyperlink ref="E692" r:id="rId1557" xr:uid="{00000000-0004-0000-0100-000014060000}"/>
    <hyperlink ref="E693" r:id="rId1558" xr:uid="{00000000-0004-0000-0100-000015060000}"/>
    <hyperlink ref="E694" r:id="rId1559" xr:uid="{00000000-0004-0000-0100-000016060000}"/>
    <hyperlink ref="E695" r:id="rId1560" xr:uid="{00000000-0004-0000-0100-000017060000}"/>
    <hyperlink ref="E696" r:id="rId1561" xr:uid="{00000000-0004-0000-0100-000018060000}"/>
    <hyperlink ref="E697" r:id="rId1562" xr:uid="{00000000-0004-0000-0100-000019060000}"/>
    <hyperlink ref="E698" r:id="rId1563" xr:uid="{00000000-0004-0000-0100-00001A060000}"/>
    <hyperlink ref="E699" r:id="rId1564" xr:uid="{00000000-0004-0000-0100-00001B060000}"/>
    <hyperlink ref="E700" r:id="rId1565" xr:uid="{00000000-0004-0000-0100-00001C060000}"/>
    <hyperlink ref="E701" r:id="rId1566" xr:uid="{00000000-0004-0000-0100-00001D060000}"/>
    <hyperlink ref="E702" r:id="rId1567" xr:uid="{00000000-0004-0000-0100-00001E060000}"/>
    <hyperlink ref="E703" r:id="rId1568" xr:uid="{00000000-0004-0000-0100-00001F060000}"/>
    <hyperlink ref="E704" r:id="rId1569" xr:uid="{00000000-0004-0000-0100-000020060000}"/>
    <hyperlink ref="E705" r:id="rId1570" xr:uid="{00000000-0004-0000-0100-000021060000}"/>
    <hyperlink ref="E706" r:id="rId1571" xr:uid="{00000000-0004-0000-0100-000022060000}"/>
    <hyperlink ref="E707" r:id="rId1572" xr:uid="{00000000-0004-0000-0100-000023060000}"/>
    <hyperlink ref="E708" r:id="rId1573" xr:uid="{00000000-0004-0000-0100-000024060000}"/>
    <hyperlink ref="E709" r:id="rId1574" xr:uid="{00000000-0004-0000-0100-000025060000}"/>
    <hyperlink ref="E710" r:id="rId1575" xr:uid="{00000000-0004-0000-0100-000026060000}"/>
    <hyperlink ref="E711" r:id="rId1576" xr:uid="{00000000-0004-0000-0100-000027060000}"/>
    <hyperlink ref="E712" r:id="rId1577" xr:uid="{00000000-0004-0000-0100-000028060000}"/>
    <hyperlink ref="E713" r:id="rId1578" xr:uid="{00000000-0004-0000-0100-000029060000}"/>
    <hyperlink ref="E714" r:id="rId1579" xr:uid="{00000000-0004-0000-0100-00002A060000}"/>
    <hyperlink ref="E715" r:id="rId1580" xr:uid="{00000000-0004-0000-0100-00002B060000}"/>
    <hyperlink ref="E716" r:id="rId1581" xr:uid="{00000000-0004-0000-0100-00002C060000}"/>
    <hyperlink ref="E717" r:id="rId1582" xr:uid="{00000000-0004-0000-0100-00002D060000}"/>
    <hyperlink ref="E718" r:id="rId1583" xr:uid="{00000000-0004-0000-0100-00002E060000}"/>
    <hyperlink ref="E719" r:id="rId1584" xr:uid="{00000000-0004-0000-0100-00002F060000}"/>
    <hyperlink ref="E720" r:id="rId1585" xr:uid="{00000000-0004-0000-0100-000030060000}"/>
    <hyperlink ref="E721" r:id="rId1586" xr:uid="{00000000-0004-0000-0100-000031060000}"/>
    <hyperlink ref="E722" r:id="rId1587" xr:uid="{00000000-0004-0000-0100-000032060000}"/>
    <hyperlink ref="E723" r:id="rId1588" xr:uid="{00000000-0004-0000-0100-000033060000}"/>
    <hyperlink ref="E724" r:id="rId1589" xr:uid="{00000000-0004-0000-0100-000034060000}"/>
    <hyperlink ref="E725" r:id="rId1590" xr:uid="{00000000-0004-0000-0100-000035060000}"/>
    <hyperlink ref="E726" r:id="rId1591" xr:uid="{00000000-0004-0000-0100-000036060000}"/>
    <hyperlink ref="E728" r:id="rId1592" xr:uid="{00000000-0004-0000-0100-000037060000}"/>
    <hyperlink ref="E729" r:id="rId1593" xr:uid="{00000000-0004-0000-0100-000038060000}"/>
    <hyperlink ref="E730" r:id="rId1594" xr:uid="{00000000-0004-0000-0100-000039060000}"/>
    <hyperlink ref="E731" r:id="rId1595" xr:uid="{00000000-0004-0000-0100-00003A060000}"/>
    <hyperlink ref="E732" r:id="rId1596" xr:uid="{00000000-0004-0000-0100-00003B060000}"/>
    <hyperlink ref="E733" r:id="rId1597" xr:uid="{00000000-0004-0000-0100-00003C060000}"/>
    <hyperlink ref="E734" r:id="rId1598" xr:uid="{00000000-0004-0000-0100-00003D060000}"/>
    <hyperlink ref="E735" r:id="rId1599" xr:uid="{00000000-0004-0000-0100-00003E060000}"/>
    <hyperlink ref="E736" r:id="rId1600" xr:uid="{00000000-0004-0000-0100-00003F060000}"/>
    <hyperlink ref="E737" r:id="rId1601" xr:uid="{00000000-0004-0000-0100-000040060000}"/>
    <hyperlink ref="E738" r:id="rId1602" xr:uid="{00000000-0004-0000-0100-000041060000}"/>
    <hyperlink ref="E739" r:id="rId1603" xr:uid="{00000000-0004-0000-0100-000042060000}"/>
    <hyperlink ref="E740" r:id="rId1604" xr:uid="{00000000-0004-0000-0100-000043060000}"/>
    <hyperlink ref="E741" r:id="rId1605" xr:uid="{00000000-0004-0000-0100-000044060000}"/>
    <hyperlink ref="E742" r:id="rId1606" xr:uid="{00000000-0004-0000-0100-000045060000}"/>
    <hyperlink ref="E743" r:id="rId1607" xr:uid="{00000000-0004-0000-0100-000046060000}"/>
    <hyperlink ref="E744" r:id="rId1608" xr:uid="{00000000-0004-0000-0100-000047060000}"/>
    <hyperlink ref="E745" r:id="rId1609" xr:uid="{00000000-0004-0000-0100-000048060000}"/>
    <hyperlink ref="E747" r:id="rId1610" xr:uid="{00000000-0004-0000-0100-000049060000}"/>
    <hyperlink ref="E748" r:id="rId1611" xr:uid="{00000000-0004-0000-0100-00004A060000}"/>
    <hyperlink ref="E749" r:id="rId1612" xr:uid="{00000000-0004-0000-0100-00004B060000}"/>
    <hyperlink ref="E750" r:id="rId1613" xr:uid="{00000000-0004-0000-0100-00004C060000}"/>
    <hyperlink ref="E751" r:id="rId1614" xr:uid="{00000000-0004-0000-0100-00004D060000}"/>
    <hyperlink ref="E752" r:id="rId1615" xr:uid="{00000000-0004-0000-0100-00004E060000}"/>
    <hyperlink ref="E753" r:id="rId1616" xr:uid="{00000000-0004-0000-0100-00004F060000}"/>
    <hyperlink ref="E754" r:id="rId1617" xr:uid="{00000000-0004-0000-0100-000050060000}"/>
    <hyperlink ref="E755" r:id="rId1618" xr:uid="{00000000-0004-0000-0100-000051060000}"/>
    <hyperlink ref="E756" r:id="rId1619" xr:uid="{00000000-0004-0000-0100-000052060000}"/>
    <hyperlink ref="E757" r:id="rId1620" xr:uid="{00000000-0004-0000-0100-000053060000}"/>
    <hyperlink ref="E758" r:id="rId1621" xr:uid="{00000000-0004-0000-0100-000054060000}"/>
    <hyperlink ref="E759" r:id="rId1622" xr:uid="{00000000-0004-0000-0100-000055060000}"/>
    <hyperlink ref="E760" r:id="rId1623" xr:uid="{00000000-0004-0000-0100-000056060000}"/>
    <hyperlink ref="E761" r:id="rId1624" xr:uid="{00000000-0004-0000-0100-000057060000}"/>
    <hyperlink ref="E762" r:id="rId1625" xr:uid="{00000000-0004-0000-0100-000058060000}"/>
    <hyperlink ref="E763" r:id="rId1626" xr:uid="{00000000-0004-0000-0100-000059060000}"/>
    <hyperlink ref="E764" r:id="rId1627" xr:uid="{00000000-0004-0000-0100-00005A060000}"/>
    <hyperlink ref="E765" r:id="rId1628" xr:uid="{00000000-0004-0000-0100-00005B060000}"/>
    <hyperlink ref="E766" r:id="rId1629" xr:uid="{00000000-0004-0000-0100-00005C060000}"/>
    <hyperlink ref="E767" r:id="rId1630" xr:uid="{00000000-0004-0000-0100-00005D060000}"/>
    <hyperlink ref="E768" r:id="rId1631" xr:uid="{00000000-0004-0000-0100-00005E060000}"/>
    <hyperlink ref="E769" r:id="rId1632" xr:uid="{00000000-0004-0000-0100-00005F060000}"/>
    <hyperlink ref="E770" r:id="rId1633" xr:uid="{00000000-0004-0000-0100-000060060000}"/>
    <hyperlink ref="E771" r:id="rId1634" xr:uid="{00000000-0004-0000-0100-000061060000}"/>
    <hyperlink ref="E773" r:id="rId1635" xr:uid="{00000000-0004-0000-0100-000062060000}"/>
    <hyperlink ref="E774" r:id="rId1636" xr:uid="{00000000-0004-0000-0100-000063060000}"/>
    <hyperlink ref="E775" r:id="rId1637" xr:uid="{00000000-0004-0000-0100-000064060000}"/>
    <hyperlink ref="E776" r:id="rId1638" xr:uid="{00000000-0004-0000-0100-000065060000}"/>
    <hyperlink ref="E777" r:id="rId1639" xr:uid="{00000000-0004-0000-0100-000066060000}"/>
    <hyperlink ref="E778" r:id="rId1640" xr:uid="{00000000-0004-0000-0100-000067060000}"/>
    <hyperlink ref="E779" r:id="rId1641" xr:uid="{00000000-0004-0000-0100-000068060000}"/>
    <hyperlink ref="E780" r:id="rId1642" xr:uid="{00000000-0004-0000-0100-000069060000}"/>
    <hyperlink ref="E781" r:id="rId1643" xr:uid="{00000000-0004-0000-0100-00006A060000}"/>
    <hyperlink ref="E783" r:id="rId1644" xr:uid="{00000000-0004-0000-0100-00006B060000}"/>
    <hyperlink ref="E786" r:id="rId1645" xr:uid="{00000000-0004-0000-0100-00006C060000}"/>
    <hyperlink ref="E787" r:id="rId1646" xr:uid="{00000000-0004-0000-0100-00006D060000}"/>
    <hyperlink ref="E788" r:id="rId1647" xr:uid="{00000000-0004-0000-0100-00006E060000}"/>
    <hyperlink ref="E789" r:id="rId1648" xr:uid="{00000000-0004-0000-0100-00006F060000}"/>
    <hyperlink ref="E790" r:id="rId1649" xr:uid="{00000000-0004-0000-0100-000070060000}"/>
    <hyperlink ref="E791" r:id="rId1650" xr:uid="{00000000-0004-0000-0100-000071060000}"/>
    <hyperlink ref="E792" r:id="rId1651" xr:uid="{00000000-0004-0000-0100-000072060000}"/>
    <hyperlink ref="E793" r:id="rId1652" xr:uid="{00000000-0004-0000-0100-000073060000}"/>
    <hyperlink ref="E794" r:id="rId1653" xr:uid="{00000000-0004-0000-0100-000074060000}"/>
    <hyperlink ref="E795" r:id="rId1654" xr:uid="{00000000-0004-0000-0100-000075060000}"/>
    <hyperlink ref="E797" r:id="rId1655" xr:uid="{00000000-0004-0000-0100-000076060000}"/>
    <hyperlink ref="E798" r:id="rId1656" xr:uid="{00000000-0004-0000-0100-000077060000}"/>
    <hyperlink ref="E799" r:id="rId1657" xr:uid="{00000000-0004-0000-0100-000078060000}"/>
    <hyperlink ref="E800" r:id="rId1658" xr:uid="{00000000-0004-0000-0100-000079060000}"/>
    <hyperlink ref="E801" r:id="rId1659" xr:uid="{00000000-0004-0000-0100-00007A060000}"/>
    <hyperlink ref="E802" r:id="rId1660" xr:uid="{00000000-0004-0000-0100-00007B060000}"/>
    <hyperlink ref="E803" r:id="rId1661" xr:uid="{00000000-0004-0000-0100-00007C060000}"/>
    <hyperlink ref="E804" r:id="rId1662" xr:uid="{00000000-0004-0000-0100-00007D060000}"/>
    <hyperlink ref="E805" r:id="rId1663" xr:uid="{00000000-0004-0000-0100-00007E060000}"/>
    <hyperlink ref="E806" r:id="rId1664" xr:uid="{00000000-0004-0000-0100-00007F060000}"/>
    <hyperlink ref="E807" r:id="rId1665" xr:uid="{00000000-0004-0000-0100-000080060000}"/>
    <hyperlink ref="E808" r:id="rId1666" xr:uid="{00000000-0004-0000-0100-000081060000}"/>
    <hyperlink ref="E809" r:id="rId1667" xr:uid="{00000000-0004-0000-0100-000082060000}"/>
    <hyperlink ref="E810" r:id="rId1668" xr:uid="{00000000-0004-0000-0100-000083060000}"/>
    <hyperlink ref="E811" r:id="rId1669" xr:uid="{00000000-0004-0000-0100-000084060000}"/>
    <hyperlink ref="E812" r:id="rId1670" xr:uid="{00000000-0004-0000-0100-000085060000}"/>
    <hyperlink ref="E813" r:id="rId1671" xr:uid="{00000000-0004-0000-0100-000086060000}"/>
    <hyperlink ref="E814" r:id="rId1672" xr:uid="{00000000-0004-0000-0100-000087060000}"/>
    <hyperlink ref="E815" r:id="rId1673" xr:uid="{00000000-0004-0000-0100-000088060000}"/>
    <hyperlink ref="E816" r:id="rId1674" xr:uid="{00000000-0004-0000-0100-000089060000}"/>
    <hyperlink ref="E817" r:id="rId1675" xr:uid="{00000000-0004-0000-0100-00008A060000}"/>
    <hyperlink ref="E818" r:id="rId1676" xr:uid="{00000000-0004-0000-0100-00008B060000}"/>
    <hyperlink ref="E819" r:id="rId1677" xr:uid="{00000000-0004-0000-0100-00008C060000}"/>
    <hyperlink ref="E820" r:id="rId1678" xr:uid="{00000000-0004-0000-0100-00008D060000}"/>
    <hyperlink ref="E821" r:id="rId1679" xr:uid="{00000000-0004-0000-0100-00008E060000}"/>
    <hyperlink ref="E822" r:id="rId1680" xr:uid="{00000000-0004-0000-0100-00008F060000}"/>
    <hyperlink ref="E823" r:id="rId1681" xr:uid="{00000000-0004-0000-0100-000090060000}"/>
    <hyperlink ref="E824" r:id="rId1682" xr:uid="{00000000-0004-0000-0100-000091060000}"/>
    <hyperlink ref="E825" r:id="rId1683" xr:uid="{00000000-0004-0000-0100-000092060000}"/>
    <hyperlink ref="E826" r:id="rId1684" xr:uid="{00000000-0004-0000-0100-000093060000}"/>
    <hyperlink ref="E827" r:id="rId1685" xr:uid="{00000000-0004-0000-0100-000094060000}"/>
    <hyperlink ref="E829" r:id="rId1686" xr:uid="{00000000-0004-0000-0100-000095060000}"/>
    <hyperlink ref="E830" r:id="rId1687" xr:uid="{00000000-0004-0000-0100-000096060000}"/>
    <hyperlink ref="E831" r:id="rId1688" xr:uid="{00000000-0004-0000-0100-000097060000}"/>
    <hyperlink ref="E832" r:id="rId1689" xr:uid="{00000000-0004-0000-0100-000098060000}"/>
    <hyperlink ref="E833" r:id="rId1690" xr:uid="{00000000-0004-0000-0100-000099060000}"/>
    <hyperlink ref="E835" r:id="rId1691" xr:uid="{00000000-0004-0000-0100-00009A060000}"/>
    <hyperlink ref="E836" r:id="rId1692" xr:uid="{00000000-0004-0000-0100-00009B060000}"/>
    <hyperlink ref="E837" r:id="rId1693" xr:uid="{00000000-0004-0000-0100-00009C060000}"/>
    <hyperlink ref="E838" r:id="rId1694" xr:uid="{00000000-0004-0000-0100-00009D060000}"/>
    <hyperlink ref="E839" r:id="rId1695" xr:uid="{00000000-0004-0000-0100-00009E060000}"/>
    <hyperlink ref="E840" r:id="rId1696" xr:uid="{00000000-0004-0000-0100-00009F060000}"/>
    <hyperlink ref="E841" r:id="rId1697" xr:uid="{00000000-0004-0000-0100-0000A0060000}"/>
    <hyperlink ref="E842" r:id="rId1698" xr:uid="{00000000-0004-0000-0100-0000A1060000}"/>
    <hyperlink ref="E843" r:id="rId1699" xr:uid="{00000000-0004-0000-0100-0000A2060000}"/>
    <hyperlink ref="E844" r:id="rId1700" xr:uid="{00000000-0004-0000-0100-0000A3060000}"/>
    <hyperlink ref="E845" r:id="rId1701" xr:uid="{00000000-0004-0000-0100-0000A4060000}"/>
    <hyperlink ref="E846" r:id="rId1702" xr:uid="{00000000-0004-0000-0100-0000A5060000}"/>
    <hyperlink ref="E847" r:id="rId1703" xr:uid="{00000000-0004-0000-0100-0000A6060000}"/>
    <hyperlink ref="E848" r:id="rId1704" xr:uid="{00000000-0004-0000-0100-0000A7060000}"/>
    <hyperlink ref="E849" r:id="rId1705" xr:uid="{00000000-0004-0000-0100-0000A8060000}"/>
    <hyperlink ref="E850" r:id="rId1706" xr:uid="{00000000-0004-0000-0100-0000A9060000}"/>
    <hyperlink ref="E851" r:id="rId1707" xr:uid="{00000000-0004-0000-0100-0000AA060000}"/>
    <hyperlink ref="E852" r:id="rId1708" xr:uid="{00000000-0004-0000-0100-0000AB060000}"/>
    <hyperlink ref="E853" r:id="rId1709" xr:uid="{00000000-0004-0000-0100-0000AC060000}"/>
    <hyperlink ref="E854" r:id="rId1710" xr:uid="{00000000-0004-0000-0100-0000AD060000}"/>
    <hyperlink ref="E855" r:id="rId1711" xr:uid="{00000000-0004-0000-0100-0000AE060000}"/>
    <hyperlink ref="E856" r:id="rId1712" xr:uid="{00000000-0004-0000-0100-0000AF060000}"/>
    <hyperlink ref="E857" r:id="rId1713" xr:uid="{00000000-0004-0000-0100-0000B0060000}"/>
    <hyperlink ref="E858" r:id="rId1714" xr:uid="{00000000-0004-0000-0100-0000B1060000}"/>
    <hyperlink ref="E859" r:id="rId1715" xr:uid="{00000000-0004-0000-0100-0000B2060000}"/>
    <hyperlink ref="E860" r:id="rId1716" xr:uid="{00000000-0004-0000-0100-0000B3060000}"/>
    <hyperlink ref="E861" r:id="rId1717" xr:uid="{00000000-0004-0000-0100-0000B4060000}"/>
    <hyperlink ref="E862" r:id="rId1718" xr:uid="{00000000-0004-0000-0100-0000B5060000}"/>
    <hyperlink ref="E863" r:id="rId1719" xr:uid="{00000000-0004-0000-0100-0000B6060000}"/>
    <hyperlink ref="E864" r:id="rId1720" xr:uid="{00000000-0004-0000-0100-0000B7060000}"/>
    <hyperlink ref="E865" r:id="rId1721" xr:uid="{00000000-0004-0000-0100-0000B8060000}"/>
    <hyperlink ref="E866" r:id="rId1722" xr:uid="{00000000-0004-0000-0100-0000B9060000}"/>
    <hyperlink ref="E867" r:id="rId1723" xr:uid="{00000000-0004-0000-0100-0000BA060000}"/>
    <hyperlink ref="E868" r:id="rId1724" xr:uid="{00000000-0004-0000-0100-0000BB060000}"/>
    <hyperlink ref="E869" r:id="rId1725" xr:uid="{00000000-0004-0000-0100-0000BC060000}"/>
    <hyperlink ref="E870" r:id="rId1726" xr:uid="{00000000-0004-0000-0100-0000BD060000}"/>
    <hyperlink ref="E871" r:id="rId1727" xr:uid="{00000000-0004-0000-0100-0000BE060000}"/>
    <hyperlink ref="E872" r:id="rId1728" xr:uid="{00000000-0004-0000-0100-0000BF060000}"/>
    <hyperlink ref="E873" r:id="rId1729" xr:uid="{00000000-0004-0000-0100-0000C0060000}"/>
    <hyperlink ref="E874" r:id="rId1730" xr:uid="{00000000-0004-0000-0100-0000C1060000}"/>
    <hyperlink ref="E875" r:id="rId1731" xr:uid="{00000000-0004-0000-0100-0000C2060000}"/>
    <hyperlink ref="E876" r:id="rId1732" xr:uid="{00000000-0004-0000-0100-0000C3060000}"/>
    <hyperlink ref="E877" r:id="rId1733" xr:uid="{00000000-0004-0000-0100-0000C4060000}"/>
    <hyperlink ref="E878" r:id="rId1734" xr:uid="{00000000-0004-0000-0100-0000C5060000}"/>
    <hyperlink ref="E879" r:id="rId1735" xr:uid="{00000000-0004-0000-0100-0000C6060000}"/>
    <hyperlink ref="E880" r:id="rId1736" xr:uid="{00000000-0004-0000-0100-0000C7060000}"/>
    <hyperlink ref="E881" r:id="rId1737" xr:uid="{00000000-0004-0000-0100-0000C8060000}"/>
    <hyperlink ref="E882" r:id="rId1738" xr:uid="{00000000-0004-0000-0100-0000C9060000}"/>
    <hyperlink ref="E883" r:id="rId1739" xr:uid="{00000000-0004-0000-0100-0000CA060000}"/>
    <hyperlink ref="E884" r:id="rId1740" xr:uid="{00000000-0004-0000-0100-0000CB060000}"/>
    <hyperlink ref="E885" r:id="rId1741" xr:uid="{00000000-0004-0000-0100-0000CC060000}"/>
    <hyperlink ref="E886" r:id="rId1742" xr:uid="{00000000-0004-0000-0100-0000CD060000}"/>
    <hyperlink ref="E887" r:id="rId1743" xr:uid="{00000000-0004-0000-0100-0000CE060000}"/>
    <hyperlink ref="E888" r:id="rId1744" xr:uid="{00000000-0004-0000-0100-0000CF060000}"/>
    <hyperlink ref="E889" r:id="rId1745" xr:uid="{00000000-0004-0000-0100-0000D0060000}"/>
    <hyperlink ref="E890" r:id="rId1746" xr:uid="{00000000-0004-0000-0100-0000D1060000}"/>
    <hyperlink ref="E891" r:id="rId1747" xr:uid="{00000000-0004-0000-0100-0000D2060000}"/>
    <hyperlink ref="E892" r:id="rId1748" xr:uid="{00000000-0004-0000-0100-0000D3060000}"/>
    <hyperlink ref="E893" r:id="rId1749" xr:uid="{00000000-0004-0000-0100-0000D4060000}"/>
    <hyperlink ref="E894" r:id="rId1750" xr:uid="{00000000-0004-0000-0100-0000D5060000}"/>
    <hyperlink ref="E895" r:id="rId1751" xr:uid="{00000000-0004-0000-0100-0000D6060000}"/>
    <hyperlink ref="E896" r:id="rId1752" xr:uid="{00000000-0004-0000-0100-0000D7060000}"/>
    <hyperlink ref="E897" r:id="rId1753" xr:uid="{00000000-0004-0000-0100-0000D8060000}"/>
    <hyperlink ref="E898" r:id="rId1754" xr:uid="{00000000-0004-0000-0100-0000D9060000}"/>
    <hyperlink ref="E899" r:id="rId1755" xr:uid="{00000000-0004-0000-0100-0000DA060000}"/>
    <hyperlink ref="E901" r:id="rId1756" xr:uid="{00000000-0004-0000-0100-0000DB060000}"/>
    <hyperlink ref="E902" r:id="rId1757" xr:uid="{00000000-0004-0000-0100-0000DC060000}"/>
    <hyperlink ref="E903" r:id="rId1758" xr:uid="{00000000-0004-0000-0100-0000DD060000}"/>
    <hyperlink ref="E904" r:id="rId1759" xr:uid="{00000000-0004-0000-0100-0000DE060000}"/>
    <hyperlink ref="E905" r:id="rId1760" xr:uid="{00000000-0004-0000-0100-0000DF060000}"/>
    <hyperlink ref="E906" r:id="rId1761" xr:uid="{00000000-0004-0000-0100-0000E0060000}"/>
    <hyperlink ref="E908" r:id="rId1762" xr:uid="{00000000-0004-0000-0100-0000E1060000}"/>
    <hyperlink ref="E909" r:id="rId1763" xr:uid="{00000000-0004-0000-0100-0000E2060000}"/>
    <hyperlink ref="E910" r:id="rId1764" xr:uid="{00000000-0004-0000-0100-0000E3060000}"/>
    <hyperlink ref="E912" r:id="rId1765" xr:uid="{00000000-0004-0000-0100-0000E4060000}"/>
    <hyperlink ref="E913" r:id="rId1766" xr:uid="{00000000-0004-0000-0100-0000E5060000}"/>
    <hyperlink ref="E914" r:id="rId1767" xr:uid="{00000000-0004-0000-0100-0000E6060000}"/>
    <hyperlink ref="E915" r:id="rId1768" xr:uid="{00000000-0004-0000-0100-0000E7060000}"/>
    <hyperlink ref="E916" r:id="rId1769" xr:uid="{00000000-0004-0000-0100-0000E8060000}"/>
    <hyperlink ref="E917" r:id="rId1770" xr:uid="{00000000-0004-0000-0100-0000E9060000}"/>
    <hyperlink ref="E918" r:id="rId1771" xr:uid="{00000000-0004-0000-0100-0000EA060000}"/>
    <hyperlink ref="E919" r:id="rId1772" xr:uid="{00000000-0004-0000-0100-0000EB060000}"/>
    <hyperlink ref="E920" r:id="rId1773" xr:uid="{00000000-0004-0000-0100-0000EC060000}"/>
    <hyperlink ref="E921" r:id="rId1774" xr:uid="{00000000-0004-0000-0100-0000ED060000}"/>
    <hyperlink ref="E922" r:id="rId1775" xr:uid="{00000000-0004-0000-0100-0000EE060000}"/>
    <hyperlink ref="E923" r:id="rId1776" xr:uid="{00000000-0004-0000-0100-0000EF060000}"/>
    <hyperlink ref="E924" r:id="rId1777" xr:uid="{00000000-0004-0000-0100-0000F0060000}"/>
    <hyperlink ref="E925" r:id="rId1778" xr:uid="{00000000-0004-0000-0100-0000F1060000}"/>
    <hyperlink ref="E926" r:id="rId1779" xr:uid="{00000000-0004-0000-0100-0000F2060000}"/>
    <hyperlink ref="E927" r:id="rId1780" xr:uid="{00000000-0004-0000-0100-0000F3060000}"/>
    <hyperlink ref="E929" r:id="rId1781" xr:uid="{00000000-0004-0000-0100-0000F4060000}"/>
    <hyperlink ref="E930" r:id="rId1782" xr:uid="{00000000-0004-0000-0100-0000F5060000}"/>
    <hyperlink ref="E931" r:id="rId1783" xr:uid="{00000000-0004-0000-0100-0000F6060000}"/>
    <hyperlink ref="E932" r:id="rId1784" xr:uid="{00000000-0004-0000-0100-0000F7060000}"/>
    <hyperlink ref="E933" r:id="rId1785" xr:uid="{00000000-0004-0000-0100-0000F8060000}"/>
    <hyperlink ref="E934" r:id="rId1786" xr:uid="{00000000-0004-0000-0100-0000F9060000}"/>
    <hyperlink ref="E935" r:id="rId1787" xr:uid="{00000000-0004-0000-0100-0000FA060000}"/>
    <hyperlink ref="E936" r:id="rId1788" xr:uid="{00000000-0004-0000-0100-0000FB060000}"/>
    <hyperlink ref="E937" r:id="rId1789" xr:uid="{00000000-0004-0000-0100-0000FC060000}"/>
    <hyperlink ref="E938" r:id="rId1790" xr:uid="{00000000-0004-0000-0100-0000FD060000}"/>
    <hyperlink ref="E939" r:id="rId1791" xr:uid="{00000000-0004-0000-0100-0000FE060000}"/>
    <hyperlink ref="E940" r:id="rId1792" xr:uid="{00000000-0004-0000-0100-0000FF060000}"/>
    <hyperlink ref="E941" r:id="rId1793" xr:uid="{00000000-0004-0000-0100-000000070000}"/>
    <hyperlink ref="E942" r:id="rId1794" xr:uid="{00000000-0004-0000-0100-000001070000}"/>
    <hyperlink ref="E943" r:id="rId1795" xr:uid="{00000000-0004-0000-0100-000002070000}"/>
    <hyperlink ref="E944" r:id="rId1796" xr:uid="{00000000-0004-0000-0100-000003070000}"/>
    <hyperlink ref="E946" r:id="rId1797" xr:uid="{00000000-0004-0000-0100-000004070000}"/>
    <hyperlink ref="E947" r:id="rId1798" xr:uid="{00000000-0004-0000-0100-000005070000}"/>
    <hyperlink ref="E948" r:id="rId1799" xr:uid="{00000000-0004-0000-0100-000006070000}"/>
    <hyperlink ref="E949" r:id="rId1800" xr:uid="{00000000-0004-0000-0100-000007070000}"/>
    <hyperlink ref="E950" r:id="rId1801" xr:uid="{00000000-0004-0000-0100-000008070000}"/>
    <hyperlink ref="E951" r:id="rId1802" xr:uid="{00000000-0004-0000-0100-000009070000}"/>
    <hyperlink ref="E952" r:id="rId1803" xr:uid="{00000000-0004-0000-0100-00000A070000}"/>
    <hyperlink ref="E953" r:id="rId1804" xr:uid="{00000000-0004-0000-0100-00000B070000}"/>
    <hyperlink ref="E954" r:id="rId1805" display="https://center6.umin.ac.jp/cgi-open-bin/ctr_e/ctr_view.cgi?recptno=R000044835" xr:uid="{00000000-0004-0000-0100-00000C070000}"/>
    <hyperlink ref="E955" r:id="rId1806" xr:uid="{00000000-0004-0000-0100-00000D070000}"/>
    <hyperlink ref="E956" r:id="rId1807" xr:uid="{00000000-0004-0000-0100-00000E070000}"/>
    <hyperlink ref="E957" r:id="rId1808" xr:uid="{00000000-0004-0000-0100-00000F070000}"/>
    <hyperlink ref="E958" r:id="rId1809" xr:uid="{00000000-0004-0000-0100-000010070000}"/>
    <hyperlink ref="E959" r:id="rId1810" xr:uid="{00000000-0004-0000-0100-000011070000}"/>
    <hyperlink ref="E960" r:id="rId1811" xr:uid="{00000000-0004-0000-0100-000012070000}"/>
    <hyperlink ref="E961" r:id="rId1812" xr:uid="{00000000-0004-0000-0100-000013070000}"/>
    <hyperlink ref="E962" r:id="rId1813" xr:uid="{00000000-0004-0000-0100-000014070000}"/>
    <hyperlink ref="E963" r:id="rId1814" xr:uid="{00000000-0004-0000-0100-000015070000}"/>
    <hyperlink ref="E964" r:id="rId1815" xr:uid="{00000000-0004-0000-0100-000016070000}"/>
    <hyperlink ref="E965" r:id="rId1816" xr:uid="{00000000-0004-0000-0100-000017070000}"/>
    <hyperlink ref="E966" r:id="rId1817" xr:uid="{00000000-0004-0000-0100-000018070000}"/>
    <hyperlink ref="E967" r:id="rId1818" xr:uid="{00000000-0004-0000-0100-000019070000}"/>
    <hyperlink ref="E968" r:id="rId1819" xr:uid="{00000000-0004-0000-0100-00001A070000}"/>
    <hyperlink ref="E969" r:id="rId1820" xr:uid="{00000000-0004-0000-0100-00001B070000}"/>
    <hyperlink ref="E970" r:id="rId1821" xr:uid="{00000000-0004-0000-0100-00001C070000}"/>
    <hyperlink ref="E971" r:id="rId1822" xr:uid="{00000000-0004-0000-0100-00001D070000}"/>
    <hyperlink ref="E972" r:id="rId1823" xr:uid="{00000000-0004-0000-0100-00001E070000}"/>
    <hyperlink ref="E973" r:id="rId1824" xr:uid="{00000000-0004-0000-0100-00001F070000}"/>
    <hyperlink ref="E974" r:id="rId1825" xr:uid="{00000000-0004-0000-0100-000020070000}"/>
    <hyperlink ref="E975" r:id="rId1826" xr:uid="{00000000-0004-0000-0100-000021070000}"/>
    <hyperlink ref="E33" r:id="rId1827" xr:uid="{00000000-0004-0000-0100-000022070000}"/>
    <hyperlink ref="E34" r:id="rId1828" xr:uid="{00000000-0004-0000-0100-000023070000}"/>
    <hyperlink ref="E32" r:id="rId1829" xr:uid="{00000000-0004-0000-0100-000024070000}"/>
    <hyperlink ref="E35" r:id="rId1830" xr:uid="{00000000-0004-0000-0100-000025070000}"/>
    <hyperlink ref="E564" r:id="rId1831" xr:uid="{00000000-0004-0000-0100-000026070000}"/>
    <hyperlink ref="E581" r:id="rId1832" xr:uid="{00000000-0004-0000-0100-000027070000}"/>
    <hyperlink ref="E772" r:id="rId1833" xr:uid="{00000000-0004-0000-0100-000028070000}"/>
    <hyperlink ref="E425" r:id="rId1834" xr:uid="{00000000-0004-0000-0100-000029070000}"/>
    <hyperlink ref="E138" r:id="rId1835" xr:uid="{00000000-0004-0000-0100-00002A070000}"/>
    <hyperlink ref="E449" r:id="rId1836" xr:uid="{00000000-0004-0000-0100-00002B070000}"/>
    <hyperlink ref="E395" r:id="rId1837" xr:uid="{00000000-0004-0000-0100-00002C070000}"/>
    <hyperlink ref="E488" r:id="rId1838" xr:uid="{00000000-0004-0000-0100-00002D070000}"/>
    <hyperlink ref="E396" r:id="rId1839" xr:uid="{00000000-0004-0000-0100-00002E070000}"/>
    <hyperlink ref="E170" r:id="rId1840" xr:uid="{00000000-0004-0000-0100-00002F070000}"/>
    <hyperlink ref="E198" r:id="rId1841" xr:uid="{00000000-0004-0000-0100-000030070000}"/>
    <hyperlink ref="E86" r:id="rId1842" xr:uid="{00000000-0004-0000-0100-000031070000}"/>
    <hyperlink ref="E387" r:id="rId1843" xr:uid="{00000000-0004-0000-0100-000032070000}"/>
    <hyperlink ref="E435" r:id="rId1844" xr:uid="{00000000-0004-0000-0100-000033070000}"/>
    <hyperlink ref="E105" r:id="rId1845" xr:uid="{00000000-0004-0000-0100-000034070000}"/>
    <hyperlink ref="E479" r:id="rId1846" xr:uid="{00000000-0004-0000-0100-000035070000}"/>
    <hyperlink ref="E497" r:id="rId1847" xr:uid="{00000000-0004-0000-0100-000036070000}"/>
    <hyperlink ref="E419" r:id="rId1848" xr:uid="{00000000-0004-0000-0100-000037070000}"/>
    <hyperlink ref="E405" r:id="rId1849" xr:uid="{00000000-0004-0000-0100-000038070000}"/>
    <hyperlink ref="E182" r:id="rId1850" xr:uid="{00000000-0004-0000-0100-000039070000}"/>
    <hyperlink ref="E401" r:id="rId1851" xr:uid="{00000000-0004-0000-0100-00003A070000}"/>
    <hyperlink ref="E476" r:id="rId1852" xr:uid="{00000000-0004-0000-0100-00003B070000}"/>
    <hyperlink ref="E152" r:id="rId1853" xr:uid="{00000000-0004-0000-0100-00003C070000}"/>
    <hyperlink ref="E230" r:id="rId1854" xr:uid="{00000000-0004-0000-0100-00003D070000}"/>
    <hyperlink ref="E494" r:id="rId1855" xr:uid="{00000000-0004-0000-0100-00003E070000}"/>
    <hyperlink ref="E335" r:id="rId1856" xr:uid="{00000000-0004-0000-0100-00003F070000}"/>
    <hyperlink ref="E83" r:id="rId1857" xr:uid="{00000000-0004-0000-0100-000040070000}"/>
    <hyperlink ref="E455" r:id="rId1858" xr:uid="{00000000-0004-0000-0100-000041070000}"/>
    <hyperlink ref="E386" r:id="rId1859" xr:uid="{00000000-0004-0000-0100-000042070000}"/>
    <hyperlink ref="E480" r:id="rId1860" xr:uid="{00000000-0004-0000-0100-000043070000}"/>
    <hyperlink ref="E496" r:id="rId1861" xr:uid="{00000000-0004-0000-0100-000044070000}"/>
    <hyperlink ref="E784" r:id="rId1862" xr:uid="{00000000-0004-0000-0100-000045070000}"/>
    <hyperlink ref="E907" r:id="rId1863" xr:uid="{00000000-0004-0000-0100-000046070000}"/>
    <hyperlink ref="E928" r:id="rId1864" xr:uid="{00000000-0004-0000-0100-000047070000}"/>
    <hyperlink ref="E727" r:id="rId1865" xr:uid="{00000000-0004-0000-0100-000048070000}"/>
    <hyperlink ref="E644" r:id="rId1866" xr:uid="{00000000-0004-0000-0100-000049070000}"/>
    <hyperlink ref="E81" r:id="rId1867" xr:uid="{00000000-0004-0000-0100-00004A070000}"/>
    <hyperlink ref="E36" r:id="rId1868" xr:uid="{00000000-0004-0000-0100-00004B070000}"/>
    <hyperlink ref="E566" r:id="rId1869" xr:uid="{00000000-0004-0000-0100-00004C070000}"/>
    <hyperlink ref="E526" r:id="rId1870" xr:uid="{00000000-0004-0000-0100-00004D070000}"/>
    <hyperlink ref="E782" r:id="rId1871" xr:uid="{00000000-0004-0000-0100-00004E070000}"/>
    <hyperlink ref="E834" r:id="rId1872" xr:uid="{00000000-0004-0000-0100-00004F070000}"/>
    <hyperlink ref="E900" r:id="rId1873" xr:uid="{00000000-0004-0000-0100-000050070000}"/>
    <hyperlink ref="E785" r:id="rId1874" xr:uid="{00000000-0004-0000-0100-000051070000}"/>
    <hyperlink ref="E664" r:id="rId1875" xr:uid="{00000000-0004-0000-0100-000052070000}"/>
    <hyperlink ref="E548" r:id="rId1876" xr:uid="{00000000-0004-0000-0100-000053070000}"/>
    <hyperlink ref="E658" r:id="rId1877" xr:uid="{00000000-0004-0000-0100-000054070000}"/>
    <hyperlink ref="E796" r:id="rId1878" xr:uid="{00000000-0004-0000-0100-000055070000}"/>
    <hyperlink ref="E608" r:id="rId1879" xr:uid="{00000000-0004-0000-0100-000056070000}"/>
    <hyperlink ref="E746" r:id="rId1880" xr:uid="{00000000-0004-0000-0100-000057070000}"/>
    <hyperlink ref="E515" r:id="rId1881" xr:uid="{00000000-0004-0000-0100-000058070000}"/>
    <hyperlink ref="E614" r:id="rId1882" xr:uid="{00000000-0004-0000-0100-000059070000}"/>
    <hyperlink ref="E911" r:id="rId1883" xr:uid="{00000000-0004-0000-0100-00005A070000}"/>
    <hyperlink ref="E505" r:id="rId1884" xr:uid="{00000000-0004-0000-0100-00005B070000}"/>
    <hyperlink ref="E828" r:id="rId1885" xr:uid="{00000000-0004-0000-0100-00005C070000}"/>
    <hyperlink ref="E945" r:id="rId1886" xr:uid="{00000000-0004-0000-0100-00005D070000}"/>
    <hyperlink ref="B36" r:id="rId1887" display="https://www.clinicaltrialsregister.eu/ctr-search/trial/2022-001515-10/ES" xr:uid="{00000000-0004-0000-0100-00005E070000}"/>
    <hyperlink ref="B81" r:id="rId1888" display="https://clinicaltrials.gov/study/NCT00000179" xr:uid="{00000000-0004-0000-0100-00005F070000}"/>
    <hyperlink ref="B83" r:id="rId1889" display="https://clinicaltrials.gov/study/NCT01979796" xr:uid="{00000000-0004-0000-0100-000060070000}"/>
    <hyperlink ref="B86" r:id="rId1890" display="https://clinicaltrials.gov/study/NCT03271814" xr:uid="{00000000-0004-0000-0100-000061070000}"/>
    <hyperlink ref="B105" r:id="rId1891" display="https://clinicaltrials.gov/study/NCT04001439" xr:uid="{00000000-0004-0000-0100-000062070000}"/>
    <hyperlink ref="B138" r:id="rId1892" display="https://clinicaltrials.gov/study/NCT04148963" xr:uid="{00000000-0004-0000-0100-000063070000}"/>
    <hyperlink ref="B152" r:id="rId1893" display="https://clinicaltrials.gov/study/NCT04248010" xr:uid="{00000000-0004-0000-0100-000064070000}"/>
    <hyperlink ref="B170" r:id="rId1894" display="https://clinicaltrials.gov/study/NCT04332601" xr:uid="{00000000-0004-0000-0100-000065070000}"/>
    <hyperlink ref="B182" r:id="rId1895" display="https://clinicaltrials.gov/study/NCT04432116" xr:uid="{00000000-0004-0000-0100-000066070000}"/>
    <hyperlink ref="B198" r:id="rId1896" display="https://clinicaltrials.gov/study/NCT04562961" xr:uid="{00000000-0004-0000-0100-000067070000}"/>
    <hyperlink ref="B230" r:id="rId1897" display="https://clinicaltrials.gov/study/NCT04798131" xr:uid="{00000000-0004-0000-0100-000068070000}"/>
    <hyperlink ref="B335" r:id="rId1898" display="https://clinicaltrials.gov/study/NCT05416658" xr:uid="{00000000-0004-0000-0100-000069070000}"/>
    <hyperlink ref="B386" r:id="rId1899" display="https://clinicaltrials.gov/study/NCT05725785" xr:uid="{00000000-0004-0000-0100-00006A070000}"/>
    <hyperlink ref="B387" r:id="rId1900" display="https://clinicaltrials.gov/study/NCT05731414" xr:uid="{00000000-0004-0000-0100-00006B070000}"/>
    <hyperlink ref="B395" r:id="rId1901" display="https://clinicaltrials.gov/study/NCT05770375" xr:uid="{00000000-0004-0000-0100-00006C070000}"/>
    <hyperlink ref="B396" r:id="rId1902" display="https://clinicaltrials.gov/study/NCT05778591" xr:uid="{00000000-0004-0000-0100-00006D070000}"/>
    <hyperlink ref="B401" r:id="rId1903" display="https://clinicaltrials.gov/study/NCT05823805" xr:uid="{00000000-0004-0000-0100-00006E070000}"/>
    <hyperlink ref="B405" r:id="rId1904" display="https://clinicaltrials.gov/study/NCT05839613" xr:uid="{00000000-0004-0000-0100-00006F070000}"/>
    <hyperlink ref="B419" r:id="rId1905" display="https://clinicaltrials.gov/study/NCT05956600" xr:uid="{00000000-0004-0000-0100-000070070000}"/>
    <hyperlink ref="B425" r:id="rId1906" display="https://clinicaltrials.gov/study/NCT05974527" xr:uid="{00000000-0004-0000-0100-000071070000}"/>
    <hyperlink ref="B435" r:id="rId1907" display="https://clinicaltrials.gov/study/NCT06043778" xr:uid="{00000000-0004-0000-0100-000072070000}"/>
    <hyperlink ref="B449" r:id="rId1908" display="https://clinicaltrials.gov/study/NCT06155682" xr:uid="{00000000-0004-0000-0100-000073070000}"/>
    <hyperlink ref="B455" r:id="rId1909" display="https://clinicaltrials.gov/study/NCT06184165" xr:uid="{00000000-0004-0000-0100-000074070000}"/>
    <hyperlink ref="B476" r:id="rId1910" display="https://clinicaltrials.gov/study/NCT06361407" xr:uid="{00000000-0004-0000-0100-000075070000}"/>
    <hyperlink ref="B479" r:id="rId1911" display="https://clinicaltrials.gov/study/NCT06375902" xr:uid="{00000000-0004-0000-0100-000076070000}"/>
    <hyperlink ref="B480" r:id="rId1912" display="https://clinicaltrials.gov/study/NCT06376734" xr:uid="{00000000-0004-0000-0100-000077070000}"/>
    <hyperlink ref="B488" r:id="rId1913" display="https://clinicaltrials.gov/study/NCT06484387" xr:uid="{00000000-0004-0000-0100-000078070000}"/>
    <hyperlink ref="B494" r:id="rId1914" display="https://clinicaltrials.gov/study/NCT06515522" xr:uid="{00000000-0004-0000-0100-000079070000}"/>
    <hyperlink ref="B496" r:id="rId1915" display="https://clinicaltrials.gov/study/NCT06540833" xr:uid="{00000000-0004-0000-0100-00007A070000}"/>
    <hyperlink ref="B497" r:id="rId1916" display="https://clinicaltrials.gov/study/NCT06562608" xr:uid="{00000000-0004-0000-0100-00007B070000}"/>
    <hyperlink ref="B505" r:id="rId1917" display="https://pubmed.ncbi.nlm.nih.gov/30470592" xr:uid="{00000000-0004-0000-0100-00007C070000}"/>
    <hyperlink ref="B515" r:id="rId1918" display="https://pubmed.ncbi.nlm.nih.gov/30872010" xr:uid="{00000000-0004-0000-0100-00007D070000}"/>
    <hyperlink ref="B526" r:id="rId1919" display="https://pubmed.ncbi.nlm.nih.gov/31182351" xr:uid="{00000000-0004-0000-0100-00007E070000}"/>
    <hyperlink ref="B548" r:id="rId1920" display="https://pubmed.ncbi.nlm.nih.gov/31587995" xr:uid="{00000000-0004-0000-0100-00007F070000}"/>
    <hyperlink ref="B564" r:id="rId1921" display="https://pubmed.ncbi.nlm.nih.gov/31706786" xr:uid="{00000000-0004-0000-0100-000080070000}"/>
    <hyperlink ref="B566" r:id="rId1922" display="https://pubmed.ncbi.nlm.nih.gov/31708380" xr:uid="{00000000-0004-0000-0100-000081070000}"/>
    <hyperlink ref="B581" r:id="rId1923" display="https://pubmed.ncbi.nlm.nih.gov/31835905" xr:uid="{00000000-0004-0000-0100-000082070000}"/>
    <hyperlink ref="B608" r:id="rId1924" display="https://pubmed.ncbi.nlm.nih.gov/32216870" xr:uid="{00000000-0004-0000-0100-000083070000}"/>
    <hyperlink ref="B614" r:id="rId1925" display="https://pubmed.ncbi.nlm.nih.gov/32279541" xr:uid="{00000000-0004-0000-0100-000084070000}"/>
    <hyperlink ref="B644" r:id="rId1926" display="https://pubmed.ncbi.nlm.nih.gov/32729631" xr:uid="{00000000-0004-0000-0100-000085070000}"/>
    <hyperlink ref="B658" r:id="rId1927" display="https://pubmed.ncbi.nlm.nih.gov/32925028" xr:uid="{00000000-0004-0000-0100-000086070000}"/>
    <hyperlink ref="B664" r:id="rId1928" display="https://pubmed.ncbi.nlm.nih.gov/32966585" xr:uid="{00000000-0004-0000-0100-000087070000}"/>
    <hyperlink ref="B727" r:id="rId1929" display="https://pubmed.ncbi.nlm.nih.gov/34059401" xr:uid="{00000000-0004-0000-0100-000088070000}"/>
    <hyperlink ref="B746" r:id="rId1930" display="https://pubmed.ncbi.nlm.nih.gov/34435395" xr:uid="{00000000-0004-0000-0100-000089070000}"/>
    <hyperlink ref="B772" r:id="rId1931" display="https://pubmed.ncbi.nlm.nih.gov/34902651" xr:uid="{00000000-0004-0000-0100-00008A070000}"/>
    <hyperlink ref="B782" r:id="rId1932" display="https://pubmed.ncbi.nlm.nih.gov/35038407" xr:uid="{00000000-0004-0000-0100-00008B070000}"/>
    <hyperlink ref="B784" r:id="rId1933" display="https://pubmed.ncbi.nlm.nih.gov/35137699" xr:uid="{00000000-0004-0000-0100-00008C070000}"/>
    <hyperlink ref="B785" r:id="rId1934" display="https://pubmed.ncbi.nlm.nih.gov/35147535" xr:uid="{00000000-0004-0000-0100-00008D070000}"/>
    <hyperlink ref="B796" r:id="rId1935" display="https://pubmed.ncbi.nlm.nih.gov/35277387" xr:uid="{00000000-0004-0000-0100-00008E070000}"/>
    <hyperlink ref="B828" r:id="rId1936" display="https://pubmed.ncbi.nlm.nih.gov/35956935" xr:uid="{00000000-0004-0000-0100-00008F070000}"/>
    <hyperlink ref="B834" r:id="rId1937" display="https://pubmed.ncbi.nlm.nih.gov/36076584" xr:uid="{00000000-0004-0000-0100-000090070000}"/>
    <hyperlink ref="B900" r:id="rId1938" display="https://pubmed.ncbi.nlm.nih.gov/37732619" xr:uid="{00000000-0004-0000-0100-000091070000}"/>
    <hyperlink ref="B907" r:id="rId1939" display="https://pubmed.ncbi.nlm.nih.gov/37929672" xr:uid="{00000000-0004-0000-0100-000092070000}"/>
    <hyperlink ref="B911" r:id="rId1940" display="https://pubmed.ncbi.nlm.nih.gov/38116916" xr:uid="{00000000-0004-0000-0100-000093070000}"/>
    <hyperlink ref="B928" r:id="rId1941" display="https://pubmed.ncbi.nlm.nih.gov/38427485" xr:uid="{00000000-0004-0000-0100-000094070000}"/>
    <hyperlink ref="B945" r:id="rId1942" display="https://pubmed.ncbi.nlm.nih.gov/38941338" xr:uid="{00000000-0004-0000-0100-000095070000}"/>
  </hyperlinks>
  <pageMargins left="0.7" right="0.7" top="0.75" bottom="0.75" header="0" footer="0"/>
  <pageSetup orientation="portrait" r:id="rId194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filterMode="1"/>
  <dimension ref="A1:I581"/>
  <sheetViews>
    <sheetView showGridLines="0" zoomScaleNormal="100" workbookViewId="0">
      <pane xSplit="2" ySplit="4" topLeftCell="C5" activePane="bottomRight" state="frozen"/>
      <selection pane="topRight"/>
      <selection pane="bottomLeft"/>
      <selection pane="bottomRight" activeCell="C5" sqref="C5"/>
    </sheetView>
  </sheetViews>
  <sheetFormatPr defaultColWidth="9" defaultRowHeight="13.2"/>
  <cols>
    <col min="1" max="1" width="6.109375" style="1" customWidth="1"/>
    <col min="2" max="2" width="70.88671875" style="1" customWidth="1"/>
    <col min="3" max="3" width="17.88671875" style="1" customWidth="1"/>
    <col min="4" max="4" width="16" style="1" customWidth="1"/>
    <col min="5" max="5" width="20.5546875" style="1" customWidth="1"/>
    <col min="6" max="6" width="35.5546875" style="1" customWidth="1"/>
    <col min="7" max="8" width="15.5546875" style="1" customWidth="1"/>
    <col min="9" max="9" width="35.5546875" style="1" customWidth="1"/>
    <col min="10" max="16384" width="9" style="1"/>
  </cols>
  <sheetData>
    <row r="1" spans="1:9" ht="25.35" customHeight="1">
      <c r="A1" s="50" t="s">
        <v>0</v>
      </c>
      <c r="B1" s="50"/>
      <c r="C1" s="50"/>
      <c r="D1" s="50"/>
      <c r="E1" s="50"/>
      <c r="F1" s="50"/>
      <c r="G1" s="50"/>
      <c r="H1" s="50"/>
      <c r="I1" s="50"/>
    </row>
    <row r="2" spans="1:9" ht="15" customHeight="1">
      <c r="A2" s="51" t="s">
        <v>1</v>
      </c>
      <c r="B2" s="62"/>
      <c r="C2" s="62"/>
      <c r="D2" s="62"/>
      <c r="E2" s="62"/>
      <c r="F2" s="62"/>
      <c r="G2" s="62"/>
      <c r="H2" s="62"/>
      <c r="I2" s="62"/>
    </row>
    <row r="3" spans="1:9" ht="15" customHeight="1">
      <c r="A3" s="62"/>
      <c r="B3" s="62"/>
      <c r="C3" s="62"/>
      <c r="D3" s="62"/>
      <c r="E3" s="62"/>
      <c r="F3" s="62"/>
      <c r="G3" s="62"/>
      <c r="H3" s="62"/>
      <c r="I3" s="62"/>
    </row>
    <row r="4" spans="1:9" ht="28.5" customHeight="1">
      <c r="A4" s="9" t="s">
        <v>2</v>
      </c>
      <c r="B4" s="9" t="s">
        <v>3799</v>
      </c>
      <c r="C4" s="9" t="s">
        <v>12</v>
      </c>
      <c r="D4" s="9" t="s">
        <v>13</v>
      </c>
      <c r="E4" s="9" t="s">
        <v>4916</v>
      </c>
      <c r="F4" s="9" t="s">
        <v>5</v>
      </c>
      <c r="G4" s="9" t="s">
        <v>549</v>
      </c>
      <c r="H4" s="9" t="s">
        <v>4463</v>
      </c>
      <c r="I4" s="9" t="s">
        <v>6</v>
      </c>
    </row>
    <row r="5" spans="1:9" ht="15.9" hidden="1" customHeight="1">
      <c r="A5" s="6">
        <v>1</v>
      </c>
      <c r="B5" s="16" t="str">
        <f>HYPERLINK("https://alz.org/media/Documents/scientific-conferences/AAIC-2024-Program-Alzheimers-Association.pdf","2024 - Alzheimer's Association International Conference")</f>
        <v>2024 - Alzheimer's Association International Conference</v>
      </c>
      <c r="C5" s="24" t="s">
        <v>14</v>
      </c>
      <c r="D5" s="17" t="s">
        <v>14</v>
      </c>
      <c r="E5" s="17" t="s">
        <v>4722</v>
      </c>
      <c r="F5" s="16" t="s">
        <v>4723</v>
      </c>
      <c r="G5" s="18">
        <v>6</v>
      </c>
      <c r="H5" s="23" t="s">
        <v>4335</v>
      </c>
      <c r="I5" s="17"/>
    </row>
    <row r="6" spans="1:9" ht="15.9" hidden="1" customHeight="1">
      <c r="A6" s="6">
        <v>2</v>
      </c>
      <c r="B6" s="16" t="str">
        <f>HYPERLINK("https://aaic.alz.org/program/2023-scientific-sessions.asp","2023 - Alzheimer's Association International Conference")</f>
        <v>2023 - Alzheimer's Association International Conference</v>
      </c>
      <c r="C6" s="24" t="s">
        <v>14</v>
      </c>
      <c r="D6" s="17" t="s">
        <v>14</v>
      </c>
      <c r="E6" s="17" t="s">
        <v>4722</v>
      </c>
      <c r="F6" s="16" t="s">
        <v>4724</v>
      </c>
      <c r="G6" s="18">
        <v>6</v>
      </c>
      <c r="H6" s="23" t="s">
        <v>4335</v>
      </c>
      <c r="I6" s="17"/>
    </row>
    <row r="7" spans="1:9" ht="15.9" hidden="1" customHeight="1">
      <c r="A7" s="6">
        <v>3</v>
      </c>
      <c r="B7" s="16" t="str">
        <f>HYPERLINK("https://aaic.alz.org/program/2022_scientific-sessions.asp","2022 - Alzheimer's Association International Conference")</f>
        <v>2022 - Alzheimer's Association International Conference</v>
      </c>
      <c r="C7" s="24" t="s">
        <v>14</v>
      </c>
      <c r="D7" s="17" t="s">
        <v>14</v>
      </c>
      <c r="E7" s="17" t="s">
        <v>4722</v>
      </c>
      <c r="F7" s="16" t="s">
        <v>4725</v>
      </c>
      <c r="G7" s="18">
        <v>6</v>
      </c>
      <c r="H7" s="23" t="s">
        <v>4335</v>
      </c>
      <c r="I7" s="17"/>
    </row>
    <row r="8" spans="1:9" ht="15.9" hidden="1" customHeight="1">
      <c r="A8" s="6">
        <v>4</v>
      </c>
      <c r="B8" s="16" t="str">
        <f>HYPERLINK("https://aaic.alz.org/highlights2021.asp","2021 - Alzheimer's Association International Conference")</f>
        <v>2021 - Alzheimer's Association International Conference</v>
      </c>
      <c r="C8" s="24" t="s">
        <v>14</v>
      </c>
      <c r="D8" s="17" t="s">
        <v>14</v>
      </c>
      <c r="E8" s="17" t="s">
        <v>4722</v>
      </c>
      <c r="F8" s="16" t="s">
        <v>4726</v>
      </c>
      <c r="G8" s="18">
        <v>6</v>
      </c>
      <c r="H8" s="23" t="s">
        <v>4335</v>
      </c>
      <c r="I8" s="17"/>
    </row>
    <row r="9" spans="1:9" ht="15.9" hidden="1" customHeight="1">
      <c r="A9" s="6">
        <v>5</v>
      </c>
      <c r="B9" s="16" t="str">
        <f>HYPERLINK("https://aaic.alz.org/releases_2020/overview-release.asp","2020 - Alzheimer's Association International Conference")</f>
        <v>2020 - Alzheimer's Association International Conference</v>
      </c>
      <c r="C9" s="24" t="s">
        <v>14</v>
      </c>
      <c r="D9" s="17" t="s">
        <v>14</v>
      </c>
      <c r="E9" s="17" t="s">
        <v>4722</v>
      </c>
      <c r="F9" s="16" t="s">
        <v>4727</v>
      </c>
      <c r="G9" s="18">
        <v>6</v>
      </c>
      <c r="H9" s="23" t="s">
        <v>4335</v>
      </c>
      <c r="I9" s="17"/>
    </row>
    <row r="10" spans="1:9" ht="15.9" hidden="1" customHeight="1">
      <c r="A10" s="6">
        <v>6</v>
      </c>
      <c r="B10" s="16" t="str">
        <f>HYPERLINK("https://www.alzdiscovery.org/events/event/22nd-international-conference-on-alzheimers-drug-discovery","2021 - 22nd International Conference on Alzheimer's Drug Discovery")</f>
        <v>2021 - 22nd International Conference on Alzheimer's Drug Discovery</v>
      </c>
      <c r="C10" s="24" t="s">
        <v>14</v>
      </c>
      <c r="D10" s="24" t="s">
        <v>14</v>
      </c>
      <c r="E10" s="17" t="s">
        <v>4880</v>
      </c>
      <c r="F10" s="16" t="s">
        <v>4881</v>
      </c>
      <c r="G10" s="18">
        <v>6</v>
      </c>
      <c r="H10" s="23" t="s">
        <v>4335</v>
      </c>
      <c r="I10" s="17"/>
    </row>
    <row r="11" spans="1:9" ht="15.9" hidden="1" customHeight="1">
      <c r="A11" s="6">
        <v>7</v>
      </c>
      <c r="B11" s="16" t="str">
        <f>HYPERLINK("https://www.alzdiscovery.org/events/event/21st-international-conference-on-alzheimers-drug-discovery","2020 - 21st International Conference on Alzheimer's Drug Discovery")</f>
        <v>2020 - 21st International Conference on Alzheimer's Drug Discovery</v>
      </c>
      <c r="C11" s="24" t="s">
        <v>14</v>
      </c>
      <c r="D11" s="24" t="s">
        <v>14</v>
      </c>
      <c r="E11" s="17" t="s">
        <v>4880</v>
      </c>
      <c r="F11" s="16" t="s">
        <v>4882</v>
      </c>
      <c r="G11" s="18">
        <v>6</v>
      </c>
      <c r="H11" s="23" t="s">
        <v>4335</v>
      </c>
      <c r="I11" s="17"/>
    </row>
    <row r="12" spans="1:9" ht="15.9" hidden="1" customHeight="1">
      <c r="A12" s="6">
        <v>8</v>
      </c>
      <c r="B12" s="16" t="str">
        <f>HYPERLINK("https://www.afpa.asia/pdf/10thWCAP_March31.pdf","2024 - The 10th World Congress Asian Psychiatry (WCPA)")</f>
        <v>2024 - The 10th World Congress Asian Psychiatry (WCPA)</v>
      </c>
      <c r="C12" s="24" t="s">
        <v>14</v>
      </c>
      <c r="D12" s="24" t="s">
        <v>14</v>
      </c>
      <c r="E12" s="17" t="s">
        <v>3921</v>
      </c>
      <c r="F12" s="16" t="s">
        <v>3922</v>
      </c>
      <c r="G12" s="18">
        <v>4</v>
      </c>
      <c r="H12" s="23" t="s">
        <v>4925</v>
      </c>
      <c r="I12" s="17"/>
    </row>
    <row r="13" spans="1:9" ht="15.9" hidden="1" customHeight="1">
      <c r="A13" s="6">
        <v>9</v>
      </c>
      <c r="B13" s="16" t="str">
        <f>HYPERLINK("https://www.afpa.asia/pdf/WCAP2022.pdf","2022 - The 9th World Congress of Asian Psychiatry (WCPA)")</f>
        <v>2022 - The 9th World Congress of Asian Psychiatry (WCPA)</v>
      </c>
      <c r="C13" s="24" t="s">
        <v>14</v>
      </c>
      <c r="D13" s="24" t="s">
        <v>14</v>
      </c>
      <c r="E13" s="17" t="s">
        <v>3921</v>
      </c>
      <c r="F13" s="16" t="s">
        <v>3923</v>
      </c>
      <c r="G13" s="18">
        <v>4</v>
      </c>
      <c r="H13" s="23" t="s">
        <v>4925</v>
      </c>
      <c r="I13" s="17"/>
    </row>
    <row r="14" spans="1:9" ht="15.9" hidden="1" customHeight="1">
      <c r="A14" s="6">
        <v>10</v>
      </c>
      <c r="B14" s="16" t="str">
        <f>HYPERLINK("https://www.afpa.asia/pdf/8th_WCAP_2021.pdf","2021 - The 8th World Congress of Asian Psychiatry (WCPA)")</f>
        <v>2021 - The 8th World Congress of Asian Psychiatry (WCPA)</v>
      </c>
      <c r="C14" s="24" t="s">
        <v>14</v>
      </c>
      <c r="D14" s="24" t="s">
        <v>14</v>
      </c>
      <c r="E14" s="17" t="s">
        <v>3921</v>
      </c>
      <c r="F14" s="16" t="s">
        <v>3924</v>
      </c>
      <c r="G14" s="18">
        <v>4</v>
      </c>
      <c r="H14" s="23" t="s">
        <v>4925</v>
      </c>
      <c r="I14" s="17"/>
    </row>
    <row r="15" spans="1:9" ht="15.9" hidden="1" customHeight="1">
      <c r="A15" s="6">
        <v>11</v>
      </c>
      <c r="B15" s="16" t="str">
        <f>HYPERLINK("https://contextualscience.org/sites/default/files/2024-07/WC2024%20Program%20-%20English%20-%207.10.pdf","2024 - 22nd World Conference of Association for Contextual Behavioral Science")</f>
        <v>2024 - 22nd World Conference of Association for Contextual Behavioral Science</v>
      </c>
      <c r="C15" s="24" t="s">
        <v>14</v>
      </c>
      <c r="D15" s="24" t="s">
        <v>14</v>
      </c>
      <c r="E15" s="17" t="s">
        <v>3908</v>
      </c>
      <c r="F15" s="16" t="s">
        <v>3909</v>
      </c>
      <c r="G15" s="18">
        <v>8</v>
      </c>
      <c r="H15" s="23" t="s">
        <v>4925</v>
      </c>
      <c r="I15" s="17"/>
    </row>
    <row r="16" spans="1:9" ht="15.9" hidden="1" customHeight="1">
      <c r="A16" s="6">
        <v>12</v>
      </c>
      <c r="B16" s="16" t="str">
        <f>HYPERLINK("https://contextualscience.org/sites/default/files/WC2023%20Program_0.pdf","2023 - 21st World Conference of Association for Contextual Behavioral Science")</f>
        <v>2023 - 21st World Conference of Association for Contextual Behavioral Science</v>
      </c>
      <c r="C16" s="24" t="s">
        <v>14</v>
      </c>
      <c r="D16" s="24" t="s">
        <v>14</v>
      </c>
      <c r="E16" s="17" t="s">
        <v>3908</v>
      </c>
      <c r="F16" s="16" t="s">
        <v>3910</v>
      </c>
      <c r="G16" s="18">
        <v>8</v>
      </c>
      <c r="H16" s="23" t="s">
        <v>4925</v>
      </c>
      <c r="I16" s="17"/>
    </row>
    <row r="17" spans="1:9" ht="15.9" hidden="1" customHeight="1">
      <c r="A17" s="6">
        <v>13</v>
      </c>
      <c r="B17" s="16" t="str">
        <f>HYPERLINK("https://contextualscience.org/sites/default/files/In-Person%20Final%20Program%205.25_0.pdf","2022 - 20th World Conference of Association for Contextual Behavioral Science")</f>
        <v>2022 - 20th World Conference of Association for Contextual Behavioral Science</v>
      </c>
      <c r="C17" s="24" t="s">
        <v>14</v>
      </c>
      <c r="D17" s="24" t="s">
        <v>14</v>
      </c>
      <c r="E17" s="17" t="s">
        <v>3908</v>
      </c>
      <c r="F17" s="16" t="s">
        <v>3911</v>
      </c>
      <c r="G17" s="18">
        <v>8</v>
      </c>
      <c r="H17" s="23" t="s">
        <v>4925</v>
      </c>
      <c r="I17" s="17"/>
    </row>
    <row r="18" spans="1:9" ht="15.9" hidden="1" customHeight="1">
      <c r="A18" s="6">
        <v>14</v>
      </c>
      <c r="B18" s="16" t="str">
        <f>HYPERLINK("https://contextualscience.org/sites/default/files/Brief%20Schedule%206.9_0.pdf","2021 - 19th Virtual World Conference of Association for Contextual Behavioral Science")</f>
        <v>2021 - 19th Virtual World Conference of Association for Contextual Behavioral Science</v>
      </c>
      <c r="C18" s="24" t="s">
        <v>14</v>
      </c>
      <c r="D18" s="24" t="s">
        <v>14</v>
      </c>
      <c r="E18" s="17" t="s">
        <v>3908</v>
      </c>
      <c r="F18" s="16" t="s">
        <v>3912</v>
      </c>
      <c r="G18" s="18">
        <v>8</v>
      </c>
      <c r="H18" s="23" t="s">
        <v>4925</v>
      </c>
      <c r="I18" s="17"/>
    </row>
    <row r="19" spans="1:9" ht="15.9" hidden="1" customHeight="1">
      <c r="A19" s="6">
        <v>15</v>
      </c>
      <c r="B19" s="16" t="str">
        <f>HYPERLINK("https://contextualscience.org/sites/default/files/WC%20online%20Formatted%20Brief%20Schedule%20with%20networking.pdf","2020 - 18th Virtual World Conference of Association for Contextual Behavioral Science")</f>
        <v>2020 - 18th Virtual World Conference of Association for Contextual Behavioral Science</v>
      </c>
      <c r="C19" s="24" t="s">
        <v>14</v>
      </c>
      <c r="D19" s="24" t="s">
        <v>14</v>
      </c>
      <c r="E19" s="17" t="s">
        <v>3908</v>
      </c>
      <c r="F19" s="16" t="s">
        <v>3913</v>
      </c>
      <c r="G19" s="18">
        <v>8</v>
      </c>
      <c r="H19" s="23" t="s">
        <v>4925</v>
      </c>
      <c r="I19" s="17"/>
    </row>
    <row r="20" spans="1:9" ht="15.9" hidden="1" customHeight="1">
      <c r="A20" s="6">
        <v>16</v>
      </c>
      <c r="B20" s="16" t="str">
        <f>HYPERLINK("https://abpsi.site-ym.com/page/ConventionCall","2024 - 55th Annual Association of Black Psychologists (ABPsi) International Convention")</f>
        <v>2024 - 55th Annual Association of Black Psychologists (ABPsi) International Convention</v>
      </c>
      <c r="C20" s="24" t="s">
        <v>14</v>
      </c>
      <c r="D20" s="24" t="s">
        <v>14</v>
      </c>
      <c r="E20" s="17" t="s">
        <v>4246</v>
      </c>
      <c r="F20" s="16" t="s">
        <v>4247</v>
      </c>
      <c r="G20" s="18">
        <v>5</v>
      </c>
      <c r="H20" s="23" t="s">
        <v>4925</v>
      </c>
      <c r="I20" s="17"/>
    </row>
    <row r="21" spans="1:9" ht="15.9" hidden="1" customHeight="1">
      <c r="A21" s="6">
        <v>17</v>
      </c>
      <c r="B21" s="16" t="str">
        <f>HYPERLINK("https://abpsi.site-ym.com/events/Sessions.aspx?id=1659401","2023 - 54th Annual Association of Black Psychologists (ABPsi) International Convention")</f>
        <v>2023 - 54th Annual Association of Black Psychologists (ABPsi) International Convention</v>
      </c>
      <c r="C21" s="24" t="s">
        <v>14</v>
      </c>
      <c r="D21" s="24" t="s">
        <v>14</v>
      </c>
      <c r="E21" s="17" t="s">
        <v>4246</v>
      </c>
      <c r="F21" s="16" t="s">
        <v>4248</v>
      </c>
      <c r="G21" s="18">
        <v>5</v>
      </c>
      <c r="H21" s="23" t="s">
        <v>4925</v>
      </c>
      <c r="I21" s="17"/>
    </row>
    <row r="22" spans="1:9" ht="15.9" hidden="1" customHeight="1">
      <c r="A22" s="6">
        <v>18</v>
      </c>
      <c r="B22" s="16" t="str">
        <f>HYPERLINK("https://sites.google.com/view/abpsi2022/schedule?authuser=0","2022 - 53rd Annual Association of Black Psychologists (ABPsi) International Convention")</f>
        <v>2022 - 53rd Annual Association of Black Psychologists (ABPsi) International Convention</v>
      </c>
      <c r="C22" s="24" t="s">
        <v>14</v>
      </c>
      <c r="D22" s="24" t="s">
        <v>14</v>
      </c>
      <c r="E22" s="17" t="s">
        <v>4246</v>
      </c>
      <c r="F22" s="16" t="s">
        <v>4249</v>
      </c>
      <c r="G22" s="18">
        <v>5</v>
      </c>
      <c r="H22" s="23" t="s">
        <v>4925</v>
      </c>
      <c r="I22" s="17"/>
    </row>
    <row r="23" spans="1:9" ht="15.9" hidden="1" customHeight="1">
      <c r="A23" s="6">
        <v>19</v>
      </c>
      <c r="B23" s="16" t="str">
        <f>HYPERLINK("https://cdn.ymaws.com/abpsi.site-ym.com/resource/resmgr/convention_meetings_/2021_convention/2021_sponsorship_guide_1.pdf","2021 - 52nd Annual Association of Black Psychologists (ABPsi) International Convention")</f>
        <v>2021 - 52nd Annual Association of Black Psychologists (ABPsi) International Convention</v>
      </c>
      <c r="C23" s="24" t="s">
        <v>14</v>
      </c>
      <c r="D23" s="24" t="s">
        <v>14</v>
      </c>
      <c r="E23" s="17" t="s">
        <v>4246</v>
      </c>
      <c r="F23" s="16" t="s">
        <v>4250</v>
      </c>
      <c r="G23" s="18">
        <v>5</v>
      </c>
      <c r="H23" s="23" t="s">
        <v>4925</v>
      </c>
      <c r="I23" s="17"/>
    </row>
    <row r="24" spans="1:9" ht="15.9" hidden="1" customHeight="1">
      <c r="A24" s="6">
        <v>20</v>
      </c>
      <c r="B24" s="16" t="str">
        <f>HYPERLINK("https://meetings.bna.org.uk/bna2023/prog/programme-day/","2023 - International Festival of Neuroscience British Neuroscience Association")</f>
        <v>2023 - International Festival of Neuroscience British Neuroscience Association</v>
      </c>
      <c r="C24" s="24" t="s">
        <v>14</v>
      </c>
      <c r="D24" s="24" t="s">
        <v>14</v>
      </c>
      <c r="E24" s="17" t="s">
        <v>4140</v>
      </c>
      <c r="F24" s="16" t="s">
        <v>4141</v>
      </c>
      <c r="G24" s="18">
        <v>8</v>
      </c>
      <c r="H24" s="23" t="s">
        <v>4925</v>
      </c>
      <c r="I24" s="17"/>
    </row>
    <row r="25" spans="1:9" ht="15.9" hidden="1" customHeight="1">
      <c r="A25" s="6">
        <v>21</v>
      </c>
      <c r="B25" s="16" t="str">
        <f>HYPERLINK("https://meetings.bna.org.uk/bna2021/programme_information/bna2021-by-day/","2021 - International Festival of Neuroscience British Neuroscience Association")</f>
        <v>2021 - International Festival of Neuroscience British Neuroscience Association</v>
      </c>
      <c r="C25" s="24" t="s">
        <v>14</v>
      </c>
      <c r="D25" s="24" t="s">
        <v>14</v>
      </c>
      <c r="E25" s="17" t="s">
        <v>4140</v>
      </c>
      <c r="F25" s="16" t="s">
        <v>4142</v>
      </c>
      <c r="G25" s="18">
        <v>8</v>
      </c>
      <c r="H25" s="23" t="s">
        <v>4925</v>
      </c>
      <c r="I25" s="17"/>
    </row>
    <row r="26" spans="1:9" ht="15.9" hidden="1" customHeight="1">
      <c r="A26" s="6">
        <v>22</v>
      </c>
      <c r="B26" s="16" t="str">
        <f>HYPERLINK("https://www.ctad-alzheimer.com/files/files/ProgramPrel_CTAD2024_16%20juillet.pdf","2024 - 17th Clinical Trials on Alzheimer's Disease Conference (CTAD)")</f>
        <v>2024 - 17th Clinical Trials on Alzheimer's Disease Conference (CTAD)</v>
      </c>
      <c r="C26" s="24" t="s">
        <v>14</v>
      </c>
      <c r="D26" s="17" t="s">
        <v>14</v>
      </c>
      <c r="E26" s="17" t="s">
        <v>4728</v>
      </c>
      <c r="F26" s="16" t="s">
        <v>4729</v>
      </c>
      <c r="G26" s="18">
        <v>6</v>
      </c>
      <c r="H26" s="23" t="s">
        <v>4335</v>
      </c>
      <c r="I26" s="17"/>
    </row>
    <row r="27" spans="1:9" ht="15.9" hidden="1" customHeight="1">
      <c r="A27" s="6">
        <v>23</v>
      </c>
      <c r="B27" s="16" t="str">
        <f>HYPERLINK("https://www.ctad-alzheimer.com/files/files/Final%20CTAD23%20Program%20Sept%2024.pdf","2023 - 16th Clinical Trials on Alzheimer's Disease Conference (CTAD)")</f>
        <v>2023 - 16th Clinical Trials on Alzheimer's Disease Conference (CTAD)</v>
      </c>
      <c r="C27" s="24" t="s">
        <v>14</v>
      </c>
      <c r="D27" s="17" t="s">
        <v>14</v>
      </c>
      <c r="E27" s="17" t="s">
        <v>4728</v>
      </c>
      <c r="F27" s="16" t="s">
        <v>4730</v>
      </c>
      <c r="G27" s="18">
        <v>6</v>
      </c>
      <c r="H27" s="23" t="s">
        <v>4335</v>
      </c>
      <c r="I27" s="17"/>
    </row>
    <row r="28" spans="1:9" ht="15.9" hidden="1" customHeight="1">
      <c r="A28" s="6">
        <v>24</v>
      </c>
      <c r="B28" s="16" t="str">
        <f>HYPERLINK("https://www.ctad-alzheimer.com/files/files/ProgramPrel_CTAD2022_4nov.pdf","2022 - 15th Clinical Trials on Alzheimer's Disease Conference (CTAD)")</f>
        <v>2022 - 15th Clinical Trials on Alzheimer's Disease Conference (CTAD)</v>
      </c>
      <c r="C28" s="24" t="s">
        <v>14</v>
      </c>
      <c r="D28" s="17" t="s">
        <v>14</v>
      </c>
      <c r="E28" s="17" t="s">
        <v>4728</v>
      </c>
      <c r="F28" s="16" t="s">
        <v>4731</v>
      </c>
      <c r="G28" s="18">
        <v>6</v>
      </c>
      <c r="H28" s="23" t="s">
        <v>4335</v>
      </c>
      <c r="I28" s="17"/>
    </row>
    <row r="29" spans="1:9" ht="15.9" hidden="1" customHeight="1">
      <c r="A29" s="6">
        <v>25</v>
      </c>
      <c r="B29" s="16" t="str">
        <f>HYPERLINK("https://www.ctad-alzheimer.com/files/files/Program_CTAD2021_8nov%20%281%29.pdf","2021 - 14th Clinical Trials on Alzheimer's Disease Conference (CTAD)")</f>
        <v>2021 - 14th Clinical Trials on Alzheimer's Disease Conference (CTAD)</v>
      </c>
      <c r="C29" s="24" t="s">
        <v>14</v>
      </c>
      <c r="D29" s="17" t="s">
        <v>14</v>
      </c>
      <c r="E29" s="17" t="s">
        <v>4728</v>
      </c>
      <c r="F29" s="16" t="s">
        <v>4732</v>
      </c>
      <c r="G29" s="18">
        <v>6</v>
      </c>
      <c r="H29" s="23" t="s">
        <v>4335</v>
      </c>
      <c r="I29" s="17"/>
    </row>
    <row r="30" spans="1:9" ht="15.9" hidden="1" customHeight="1">
      <c r="A30" s="6">
        <v>26</v>
      </c>
      <c r="B30" s="16" t="str">
        <f>HYPERLINK("https://www.ctad-alzheimer.com/files/files/DIGITALprogram_CTAD2020_2nov.pdf","2020 - 13th Clinical Trials on Alzheimer's Disease Conference (CTAD)")</f>
        <v>2020 - 13th Clinical Trials on Alzheimer's Disease Conference (CTAD)</v>
      </c>
      <c r="C30" s="24" t="s">
        <v>14</v>
      </c>
      <c r="D30" s="17" t="s">
        <v>14</v>
      </c>
      <c r="E30" s="17" t="s">
        <v>4728</v>
      </c>
      <c r="F30" s="16" t="s">
        <v>4733</v>
      </c>
      <c r="G30" s="18">
        <v>6</v>
      </c>
      <c r="H30" s="23" t="s">
        <v>4335</v>
      </c>
      <c r="I30" s="17"/>
    </row>
    <row r="31" spans="1:9" ht="15.9" hidden="1" customHeight="1">
      <c r="A31" s="6">
        <v>27</v>
      </c>
      <c r="B31" s="16" t="str">
        <f>HYPERLINK("https://icp2024.com/scientific-programme/","2024 - 33rd International Congress of Psychology")</f>
        <v>2024 - 33rd International Congress of Psychology</v>
      </c>
      <c r="C31" s="24" t="s">
        <v>14</v>
      </c>
      <c r="D31" s="17" t="s">
        <v>14</v>
      </c>
      <c r="E31" s="17" t="s">
        <v>3801</v>
      </c>
      <c r="F31" s="16" t="s">
        <v>3802</v>
      </c>
      <c r="G31" s="18">
        <v>5</v>
      </c>
      <c r="H31" s="23" t="s">
        <v>4925</v>
      </c>
      <c r="I31" s="17"/>
    </row>
    <row r="32" spans="1:9" ht="15.9" hidden="1" customHeight="1">
      <c r="A32" s="6">
        <v>28</v>
      </c>
      <c r="B32" s="16" t="str">
        <f>HYPERLINK("https://www.icp2020.com/","2021 - 32nd International Congress of Psychology")</f>
        <v>2021 - 32nd International Congress of Psychology</v>
      </c>
      <c r="C32" s="24" t="s">
        <v>14</v>
      </c>
      <c r="D32" s="17" t="s">
        <v>14</v>
      </c>
      <c r="E32" s="17" t="s">
        <v>3801</v>
      </c>
      <c r="F32" s="16" t="s">
        <v>3800</v>
      </c>
      <c r="G32" s="18">
        <v>5</v>
      </c>
      <c r="H32" s="23" t="s">
        <v>4925</v>
      </c>
      <c r="I32" s="17"/>
    </row>
    <row r="33" spans="1:9" ht="15.9" hidden="1" customHeight="1">
      <c r="A33" s="6">
        <v>29</v>
      </c>
      <c r="B33" s="16" t="str">
        <f>HYPERLINK("https://www.dementiaconference.com/program","2024 - International Dementia Conference")</f>
        <v>2024 - International Dementia Conference</v>
      </c>
      <c r="C33" s="24" t="s">
        <v>14</v>
      </c>
      <c r="D33" s="17" t="s">
        <v>14</v>
      </c>
      <c r="E33" s="17" t="s">
        <v>4734</v>
      </c>
      <c r="F33" s="16" t="s">
        <v>4735</v>
      </c>
      <c r="G33" s="18">
        <v>7</v>
      </c>
      <c r="H33" s="23" t="s">
        <v>4335</v>
      </c>
      <c r="I33" s="17"/>
    </row>
    <row r="34" spans="1:9" ht="15.9" hidden="1" customHeight="1">
      <c r="A34" s="6">
        <v>30</v>
      </c>
      <c r="B34" s="16" t="str">
        <f>HYPERLINK("https://discourseinpsychosis.org/wp-content/uploads/2024/03/Discourse_meeting_programme-1.pdf","2024 - 2nd Satellite Meeting of DISCOURSE in Psychosis Consortium")</f>
        <v>2024 - 2nd Satellite Meeting of DISCOURSE in Psychosis Consortium</v>
      </c>
      <c r="C34" s="24" t="s">
        <v>14</v>
      </c>
      <c r="D34" s="17" t="s">
        <v>14</v>
      </c>
      <c r="E34" s="17" t="s">
        <v>3803</v>
      </c>
      <c r="F34" s="16" t="s">
        <v>3804</v>
      </c>
      <c r="G34" s="18">
        <v>3</v>
      </c>
      <c r="H34" s="23" t="s">
        <v>4325</v>
      </c>
      <c r="I34" s="17"/>
    </row>
    <row r="35" spans="1:9" ht="15.9" hidden="1" customHeight="1">
      <c r="A35" s="6">
        <v>31</v>
      </c>
      <c r="B35" s="16" t="str">
        <f>HYPERLINK("https://discourseinpsychosis.org/wp-content/uploads/2024/05/Discourse-Meeting-Program-May-2023.pdf","2023 - 1st Satellite Meeting of DISCOURSE in Psychosis Consortium")</f>
        <v>2023 - 1st Satellite Meeting of DISCOURSE in Psychosis Consortium</v>
      </c>
      <c r="C35" s="24" t="s">
        <v>14</v>
      </c>
      <c r="D35" s="17" t="s">
        <v>14</v>
      </c>
      <c r="E35" s="17" t="s">
        <v>3803</v>
      </c>
      <c r="F35" s="16" t="s">
        <v>3805</v>
      </c>
      <c r="G35" s="18">
        <v>3</v>
      </c>
      <c r="H35" s="23" t="s">
        <v>4325</v>
      </c>
      <c r="I35" s="17"/>
    </row>
    <row r="36" spans="1:9" ht="15.9" hidden="1" customHeight="1">
      <c r="A36" s="6">
        <v>32</v>
      </c>
      <c r="B36" s="16" t="str">
        <f>HYPERLINK("https://www.escap.eu/events/escap-2023-congress-in-copenhagen","2023 - 20th International Congress of the European Society for Child and Adolescent Psychiatry")</f>
        <v>2023 - 20th International Congress of the European Society for Child and Adolescent Psychiatry</v>
      </c>
      <c r="C36" s="17" t="s">
        <v>14</v>
      </c>
      <c r="D36" s="17" t="s">
        <v>14</v>
      </c>
      <c r="E36" s="17" t="s">
        <v>4009</v>
      </c>
      <c r="F36" s="16" t="s">
        <v>4010</v>
      </c>
      <c r="G36" s="18">
        <v>4</v>
      </c>
      <c r="H36" s="23" t="s">
        <v>4925</v>
      </c>
      <c r="I36" s="17"/>
    </row>
    <row r="37" spans="1:9" ht="15.9" hidden="1" customHeight="1">
      <c r="A37" s="6">
        <v>33</v>
      </c>
      <c r="B37" s="16" t="str">
        <f>HYPERLINK("https://www.escap.eu/uploads/Events/Maastricht%202021/escap-2022-programme-accreditation-version.pdf","2022 - 19th International Congress of the European Society for Child and Adolescent Psychiatry")</f>
        <v>2022 - 19th International Congress of the European Society for Child and Adolescent Psychiatry</v>
      </c>
      <c r="C37" s="17" t="s">
        <v>14</v>
      </c>
      <c r="D37" s="17" t="s">
        <v>14</v>
      </c>
      <c r="E37" s="17" t="s">
        <v>4009</v>
      </c>
      <c r="F37" s="16" t="s">
        <v>4011</v>
      </c>
      <c r="G37" s="18">
        <v>4</v>
      </c>
      <c r="H37" s="23" t="s">
        <v>4925</v>
      </c>
      <c r="I37" s="17"/>
    </row>
    <row r="38" spans="1:9" ht="15.9" hidden="1" customHeight="1">
      <c r="A38" s="6">
        <v>34</v>
      </c>
      <c r="B38" s="16" t="str">
        <f>HYPERLINK("https://www.fndsociety.org/biennial-meeting/2024/program","2024 - 5th International Conference on Functional Neurological Disorder")</f>
        <v>2024 - 5th International Conference on Functional Neurological Disorder</v>
      </c>
      <c r="C38" s="24" t="s">
        <v>14</v>
      </c>
      <c r="D38" s="24" t="s">
        <v>14</v>
      </c>
      <c r="E38" s="17" t="s">
        <v>4251</v>
      </c>
      <c r="F38" s="16" t="s">
        <v>4252</v>
      </c>
      <c r="G38" s="18">
        <v>8</v>
      </c>
      <c r="H38" s="23" t="s">
        <v>4925</v>
      </c>
      <c r="I38" s="17"/>
    </row>
    <row r="39" spans="1:9" ht="15.9" hidden="1" customHeight="1">
      <c r="A39" s="6">
        <v>35</v>
      </c>
      <c r="B39" s="16" t="str">
        <f>HYPERLINK("https://www.fndsociety.org/biennial-meeting/2022/programme","2022 - 4th International Conference on Functional Neurological Disorder")</f>
        <v>2022 - 4th International Conference on Functional Neurological Disorder</v>
      </c>
      <c r="C39" s="24" t="s">
        <v>14</v>
      </c>
      <c r="D39" s="24" t="s">
        <v>14</v>
      </c>
      <c r="E39" s="17" t="s">
        <v>4251</v>
      </c>
      <c r="F39" s="16" t="s">
        <v>4253</v>
      </c>
      <c r="G39" s="18">
        <v>8</v>
      </c>
      <c r="H39" s="23" t="s">
        <v>4925</v>
      </c>
      <c r="I39" s="17"/>
    </row>
    <row r="40" spans="1:9" ht="15.9" hidden="1" customHeight="1">
      <c r="A40" s="6">
        <v>36</v>
      </c>
      <c r="B40" s="16" t="str">
        <f>HYPERLINK("https://www.iacapap2024.com/ingles/programacao/index_track_cronologico.php#topo","2024 - 26th World Congress of the International Association for Child and Adolescent Psychiatry and Allied Professions")</f>
        <v>2024 - 26th World Congress of the International Association for Child and Adolescent Psychiatry and Allied Professions</v>
      </c>
      <c r="C40" s="24" t="s">
        <v>14</v>
      </c>
      <c r="D40" s="17" t="s">
        <v>14</v>
      </c>
      <c r="E40" s="17" t="s">
        <v>3810</v>
      </c>
      <c r="F40" s="16" t="s">
        <v>3811</v>
      </c>
      <c r="G40" s="18">
        <v>4</v>
      </c>
      <c r="H40" s="23" t="s">
        <v>4925</v>
      </c>
      <c r="I40" s="17"/>
    </row>
    <row r="41" spans="1:9" ht="15.9" hidden="1" customHeight="1">
      <c r="A41" s="6">
        <v>37</v>
      </c>
      <c r="B41" s="16" t="str">
        <f>HYPERLINK("https://www.iacapap2022.com/program","2022 - 25th World Congress of the International Association for Child and Adolescent Psychiatry and Allied Professions")</f>
        <v>2022 - 25th World Congress of the International Association for Child and Adolescent Psychiatry and Allied Professions</v>
      </c>
      <c r="C41" s="24" t="s">
        <v>14</v>
      </c>
      <c r="D41" s="17" t="s">
        <v>14</v>
      </c>
      <c r="E41" s="17" t="s">
        <v>3810</v>
      </c>
      <c r="F41" s="16" t="s">
        <v>3812</v>
      </c>
      <c r="G41" s="18">
        <v>4</v>
      </c>
      <c r="H41" s="23" t="s">
        <v>4925</v>
      </c>
      <c r="I41" s="17"/>
    </row>
    <row r="42" spans="1:9" ht="15.9" hidden="1" customHeight="1">
      <c r="A42" s="6">
        <v>38</v>
      </c>
      <c r="B42" s="16" t="str">
        <f>HYPERLINK("https://iacapap2020.org/programme-overview/","2020 - 24th World Congress of the International Association for Child and Adolescent Psychiatry and Allied Professions")</f>
        <v>2020 - 24th World Congress of the International Association for Child and Adolescent Psychiatry and Allied Professions</v>
      </c>
      <c r="C42" s="24" t="s">
        <v>14</v>
      </c>
      <c r="D42" s="17" t="s">
        <v>14</v>
      </c>
      <c r="E42" s="17" t="s">
        <v>3810</v>
      </c>
      <c r="F42" s="16" t="s">
        <v>3813</v>
      </c>
      <c r="G42" s="18">
        <v>4</v>
      </c>
      <c r="H42" s="23" t="s">
        <v>4925</v>
      </c>
      <c r="I42" s="17"/>
    </row>
    <row r="43" spans="1:9" ht="15.9" hidden="1" customHeight="1">
      <c r="A43" s="6">
        <v>39</v>
      </c>
      <c r="B43" s="16" t="str">
        <f>HYPERLINK("https://www.iagp.com/wp-content/uploads/2024/06/7th-IAGP-reg-conf-2024-Tunis.pdf","2024 - 7th African Regional Congress on International Association for Group Psychotherapy and Group Processes")</f>
        <v>2024 - 7th African Regional Congress on International Association for Group Psychotherapy and Group Processes</v>
      </c>
      <c r="C43" s="24" t="s">
        <v>14</v>
      </c>
      <c r="D43" s="17" t="s">
        <v>14</v>
      </c>
      <c r="E43" s="17" t="s">
        <v>3814</v>
      </c>
      <c r="F43" s="16" t="s">
        <v>3815</v>
      </c>
      <c r="G43" s="18">
        <v>5</v>
      </c>
      <c r="H43" s="23" t="s">
        <v>4925</v>
      </c>
      <c r="I43" s="17"/>
    </row>
    <row r="44" spans="1:9" ht="15.9" hidden="1" customHeight="1">
      <c r="A44" s="6">
        <v>40</v>
      </c>
      <c r="B44" s="16" t="str">
        <f>HYPERLINK("https://cbpfebrap.febrap.org.br/palestrantes-convidados/","2024 - 2nd Latin American Regional Congress on International Association for Group Psychotherapy and Group Processes and 24th Brazilian Psychodrama Congress")</f>
        <v>2024 - 2nd Latin American Regional Congress on International Association for Group Psychotherapy and Group Processes and 24th Brazilian Psychodrama Congress</v>
      </c>
      <c r="C44" s="24" t="s">
        <v>14</v>
      </c>
      <c r="D44" s="17" t="s">
        <v>14</v>
      </c>
      <c r="E44" s="17" t="s">
        <v>3814</v>
      </c>
      <c r="F44" s="16" t="s">
        <v>3816</v>
      </c>
      <c r="G44" s="18">
        <v>5</v>
      </c>
      <c r="H44" s="23" t="s">
        <v>4925</v>
      </c>
      <c r="I44" s="17"/>
    </row>
    <row r="45" spans="1:9" ht="15.9" hidden="1" customHeight="1">
      <c r="A45" s="6">
        <v>41</v>
      </c>
      <c r="B45" s="16" t="str">
        <f>HYPERLINK("https://www.iagp.com/conferences/","2023 - 6th African Regional Congress on International Association for Group Psychotherapy and Group Processes")</f>
        <v>2023 - 6th African Regional Congress on International Association for Group Psychotherapy and Group Processes</v>
      </c>
      <c r="C45" s="24" t="s">
        <v>14</v>
      </c>
      <c r="D45" s="17" t="s">
        <v>14</v>
      </c>
      <c r="E45" s="17" t="s">
        <v>3814</v>
      </c>
      <c r="F45" s="16" t="s">
        <v>3817</v>
      </c>
      <c r="G45" s="18">
        <v>5</v>
      </c>
      <c r="H45" s="23" t="s">
        <v>4925</v>
      </c>
      <c r="I45" s="17"/>
    </row>
    <row r="46" spans="1:9" ht="15.9" hidden="1" customHeight="1">
      <c r="A46" s="6">
        <v>42</v>
      </c>
      <c r="B46" s="16" t="str">
        <f>HYPERLINK("https://www.iagp.com/conferences/","2022 - 5th African Regional Congress on International Association for Group Psychotherapy and Group Processes")</f>
        <v>2022 - 5th African Regional Congress on International Association for Group Psychotherapy and Group Processes</v>
      </c>
      <c r="C46" s="24" t="s">
        <v>14</v>
      </c>
      <c r="D46" s="17" t="s">
        <v>14</v>
      </c>
      <c r="E46" s="17" t="s">
        <v>3814</v>
      </c>
      <c r="F46" s="16" t="s">
        <v>3817</v>
      </c>
      <c r="G46" s="18">
        <v>5</v>
      </c>
      <c r="H46" s="23" t="s">
        <v>4925</v>
      </c>
      <c r="I46" s="17"/>
    </row>
    <row r="47" spans="1:9" ht="15.9" hidden="1" customHeight="1">
      <c r="A47" s="6">
        <v>43</v>
      </c>
      <c r="B47" s="16" t="str">
        <f>HYPERLINK("https://iapsp.org/wp-content/uploads/2024/08/IAPSP-2024-Rome-Conference-Brochure.pdf","2024 - 45th International Conference on International Association for Psychoanalytic Self Psychology")</f>
        <v>2024 - 45th International Conference on International Association for Psychoanalytic Self Psychology</v>
      </c>
      <c r="C47" s="24" t="s">
        <v>14</v>
      </c>
      <c r="D47" s="17" t="s">
        <v>14</v>
      </c>
      <c r="E47" s="17" t="s">
        <v>3818</v>
      </c>
      <c r="F47" s="16" t="s">
        <v>3819</v>
      </c>
      <c r="G47" s="18">
        <v>5</v>
      </c>
      <c r="H47" s="23" t="s">
        <v>4925</v>
      </c>
      <c r="I47" s="17"/>
    </row>
    <row r="48" spans="1:9" ht="15.9" hidden="1" customHeight="1">
      <c r="A48" s="6">
        <v>44</v>
      </c>
      <c r="B48" s="16" t="str">
        <f>HYPERLINK("https://iapsp.org/wp-content/uploads/2023/10/IAPSP-Annual-Conference-Chicago-2023.pdf","2023 - 44th International Conference on International Association for Psychoanalytic Self Psychology")</f>
        <v>2023 - 44th International Conference on International Association for Psychoanalytic Self Psychology</v>
      </c>
      <c r="C48" s="24" t="s">
        <v>14</v>
      </c>
      <c r="D48" s="17" t="s">
        <v>14</v>
      </c>
      <c r="E48" s="17" t="s">
        <v>3818</v>
      </c>
      <c r="F48" s="16" t="s">
        <v>3820</v>
      </c>
      <c r="G48" s="18">
        <v>5</v>
      </c>
      <c r="H48" s="23" t="s">
        <v>4925</v>
      </c>
      <c r="I48" s="17"/>
    </row>
    <row r="49" spans="1:9" ht="15.9" hidden="1" customHeight="1">
      <c r="A49" s="6">
        <v>45</v>
      </c>
      <c r="B49" s="16" t="str">
        <f>HYPERLINK("https://iapsp.org/wp-content/uploads/2022/09/IAPSP-2022-CONFERENCE-BROCHURE.pdf","2022 - 43rd International Conference on International Association for Psychoanalytic Self Psychology")</f>
        <v>2022 - 43rd International Conference on International Association for Psychoanalytic Self Psychology</v>
      </c>
      <c r="C49" s="24" t="s">
        <v>14</v>
      </c>
      <c r="D49" s="17" t="s">
        <v>14</v>
      </c>
      <c r="E49" s="17" t="s">
        <v>3818</v>
      </c>
      <c r="F49" s="16" t="s">
        <v>3821</v>
      </c>
      <c r="G49" s="18">
        <v>5</v>
      </c>
      <c r="H49" s="23" t="s">
        <v>4925</v>
      </c>
      <c r="I49" s="17"/>
    </row>
    <row r="50" spans="1:9" ht="15.9" hidden="1" customHeight="1">
      <c r="A50" s="6">
        <v>46</v>
      </c>
      <c r="B50" s="16" t="str">
        <f>HYPERLINK("https://iarpp.net/thesite/wp-content/uploads/2024/02/IARPP-2024-Conference-FINAL-UPDATED-2.pdf","2024 - 20th Annual Conference on International Association for Relational Psychoanalysis and Psychotherapy")</f>
        <v>2024 - 20th Annual Conference on International Association for Relational Psychoanalysis and Psychotherapy</v>
      </c>
      <c r="C50" s="24" t="s">
        <v>14</v>
      </c>
      <c r="D50" s="17" t="s">
        <v>14</v>
      </c>
      <c r="E50" s="17" t="s">
        <v>3822</v>
      </c>
      <c r="F50" s="16" t="s">
        <v>3823</v>
      </c>
      <c r="G50" s="18">
        <v>5</v>
      </c>
      <c r="H50" s="23" t="s">
        <v>4925</v>
      </c>
      <c r="I50" s="17"/>
    </row>
    <row r="51" spans="1:9" ht="15.9" hidden="1" customHeight="1">
      <c r="A51" s="6">
        <v>47</v>
      </c>
      <c r="B51" s="16" t="str">
        <f>HYPERLINK("https://iarpp.net/thesite/wp-content/uploads/2022/08/Valencia_Brochure_V7June10.pdf","2023 - 19th Annual Conference on International Association for Relational Psychoanalysis and Psychotherapy")</f>
        <v>2023 - 19th Annual Conference on International Association for Relational Psychoanalysis and Psychotherapy</v>
      </c>
      <c r="C51" s="24" t="s">
        <v>14</v>
      </c>
      <c r="D51" s="17" t="s">
        <v>14</v>
      </c>
      <c r="E51" s="17" t="s">
        <v>3822</v>
      </c>
      <c r="F51" s="16" t="s">
        <v>3824</v>
      </c>
      <c r="G51" s="18">
        <v>5</v>
      </c>
      <c r="H51" s="23" t="s">
        <v>4925</v>
      </c>
      <c r="I51" s="17"/>
    </row>
    <row r="52" spans="1:9" ht="15.9" hidden="1" customHeight="1">
      <c r="A52" s="6">
        <v>48</v>
      </c>
      <c r="B52" s="16" t="str">
        <f>HYPERLINK("https://iarpp.net/thesite/wp-content/uploads/2020/02/IARPP-2020-Conference-Brochure-FINAL-0032_28.pdf","2022 - 18th Annual Conference on International Association for Relational Psychoanalysis and Psychotherapy")</f>
        <v>2022 - 18th Annual Conference on International Association for Relational Psychoanalysis and Psychotherapy</v>
      </c>
      <c r="C52" s="24" t="s">
        <v>14</v>
      </c>
      <c r="D52" s="17" t="s">
        <v>14</v>
      </c>
      <c r="E52" s="17" t="s">
        <v>3822</v>
      </c>
      <c r="F52" s="16" t="s">
        <v>3825</v>
      </c>
      <c r="G52" s="18">
        <v>5</v>
      </c>
      <c r="H52" s="23" t="s">
        <v>4925</v>
      </c>
      <c r="I52" s="17"/>
    </row>
    <row r="53" spans="1:9" ht="15.9" hidden="1" customHeight="1">
      <c r="A53" s="6">
        <v>49</v>
      </c>
      <c r="B53" s="16" t="str">
        <f>HYPERLINK("https://ucarecdn.com/89789383-19ba-4ada-ae6d-5482a8fa5a02/iarpp-2-symposium-2021-ita.pdf","2021 - 2nd Online Symposium on International Association for Relational Psychoanalysis and Psychotherapy")</f>
        <v>2021 - 2nd Online Symposium on International Association for Relational Psychoanalysis and Psychotherapy</v>
      </c>
      <c r="C53" s="24" t="s">
        <v>14</v>
      </c>
      <c r="D53" s="17" t="s">
        <v>14</v>
      </c>
      <c r="E53" s="17" t="s">
        <v>3822</v>
      </c>
      <c r="F53" s="16" t="s">
        <v>3827</v>
      </c>
      <c r="G53" s="18">
        <v>5</v>
      </c>
      <c r="H53" s="23" t="s">
        <v>4925</v>
      </c>
      <c r="I53" s="17"/>
    </row>
    <row r="54" spans="1:9" ht="15.9" hidden="1" customHeight="1">
      <c r="A54" s="6">
        <v>50</v>
      </c>
      <c r="B54" s="16" t="str">
        <f>HYPERLINK("https://iarpp.ce-go.com/iarppsymposium2021/agenda","2021 - 1st Online Symposium on International Association for Relational Psychoanalysis and Psychotherapy")</f>
        <v>2021 - 1st Online Symposium on International Association for Relational Psychoanalysis and Psychotherapy</v>
      </c>
      <c r="C54" s="24" t="s">
        <v>14</v>
      </c>
      <c r="D54" s="17" t="s">
        <v>14</v>
      </c>
      <c r="E54" s="17" t="s">
        <v>3822</v>
      </c>
      <c r="F54" s="16" t="s">
        <v>3826</v>
      </c>
      <c r="G54" s="18">
        <v>5</v>
      </c>
      <c r="H54" s="23" t="s">
        <v>4925</v>
      </c>
      <c r="I54" s="17"/>
    </row>
    <row r="55" spans="1:9" ht="15.9" hidden="1" customHeight="1">
      <c r="A55" s="6">
        <v>51</v>
      </c>
      <c r="B55" s="16" t="str">
        <f>HYPERLINK("https://myemail-api.constantcontact.com/Welcome-to-the--9th-World-Congress-on-Women-s-Mental-Health.html?soid=1102782902506&amp;aid=V6D0CgmQnV0","2022 - 9th World Congress on Women’s Mental Health")</f>
        <v>2022 - 9th World Congress on Women’s Mental Health</v>
      </c>
      <c r="C55" s="24" t="s">
        <v>14</v>
      </c>
      <c r="D55" s="17" t="s">
        <v>14</v>
      </c>
      <c r="E55" s="17" t="s">
        <v>3828</v>
      </c>
      <c r="F55" s="16" t="s">
        <v>3829</v>
      </c>
      <c r="G55" s="18">
        <v>4</v>
      </c>
      <c r="H55" s="23" t="s">
        <v>4925</v>
      </c>
      <c r="I55" s="17"/>
    </row>
    <row r="56" spans="1:9" ht="15.9" hidden="1" customHeight="1">
      <c r="A56" s="6">
        <v>52</v>
      </c>
      <c r="B56" s="16" t="str">
        <f>HYPERLINK("https://iagg2022.org/wp-content/uploads/2022/01/AGENDA-EN-PDF-v10.pdf","2022 - 22nd IAGG World Congress of Gerontology and Geriatrics")</f>
        <v>2022 - 22nd IAGG World Congress of Gerontology and Geriatrics</v>
      </c>
      <c r="C56" s="24" t="s">
        <v>14</v>
      </c>
      <c r="D56" s="17" t="s">
        <v>14</v>
      </c>
      <c r="E56" s="17" t="s">
        <v>4736</v>
      </c>
      <c r="F56" s="16" t="s">
        <v>4737</v>
      </c>
      <c r="G56" s="18">
        <v>9</v>
      </c>
      <c r="H56" s="23" t="s">
        <v>4925</v>
      </c>
      <c r="I56" s="17"/>
    </row>
    <row r="57" spans="1:9" ht="15.9" hidden="1" customHeight="1">
      <c r="A57" s="6">
        <v>53</v>
      </c>
      <c r="B57" s="16" t="str">
        <f>HYPERLINK("https://danskgerontologi.dk/aktiviteter/iagger-congress/","2025 - 10th International Association of Gerontology and Geriatrics European Region Congress (IAGG-ER)")</f>
        <v>2025 - 10th International Association of Gerontology and Geriatrics European Region Congress (IAGG-ER)</v>
      </c>
      <c r="C57" s="17" t="s">
        <v>14</v>
      </c>
      <c r="D57" s="17" t="s">
        <v>14</v>
      </c>
      <c r="E57" s="17" t="s">
        <v>4770</v>
      </c>
      <c r="F57" s="16" t="s">
        <v>4771</v>
      </c>
      <c r="G57" s="18">
        <v>9</v>
      </c>
      <c r="H57" s="23" t="s">
        <v>4925</v>
      </c>
      <c r="I57" s="17"/>
    </row>
    <row r="58" spans="1:9" ht="15.9" hidden="1" customHeight="1">
      <c r="A58" s="6">
        <v>54</v>
      </c>
      <c r="B58" s="16" t="str">
        <f>HYPERLINK("https://www.ibnsconnect.org/ibns-2024-program","2024 - 33rd Annual Meeting of International Behavioral Neuroscience Society")</f>
        <v>2024 - 33rd Annual Meeting of International Behavioral Neuroscience Society</v>
      </c>
      <c r="C58" s="24" t="s">
        <v>14</v>
      </c>
      <c r="D58" s="17" t="s">
        <v>14</v>
      </c>
      <c r="E58" s="17" t="s">
        <v>3830</v>
      </c>
      <c r="F58" s="16" t="s">
        <v>5007</v>
      </c>
      <c r="G58" s="18">
        <v>8</v>
      </c>
      <c r="H58" s="23" t="s">
        <v>4925</v>
      </c>
      <c r="I58" s="17"/>
    </row>
    <row r="59" spans="1:9" ht="15.9" hidden="1" customHeight="1">
      <c r="A59" s="6">
        <v>55</v>
      </c>
      <c r="B59" s="16" t="str">
        <f>HYPERLINK("https://www.ibnsconnect.org/ibns-2023-niagara-falls-canada","2023 - 32nd Annual Meeting of International Behavioral Neuroscience Society")</f>
        <v>2023 - 32nd Annual Meeting of International Behavioral Neuroscience Society</v>
      </c>
      <c r="C59" s="24" t="s">
        <v>14</v>
      </c>
      <c r="D59" s="24" t="s">
        <v>14</v>
      </c>
      <c r="E59" s="17" t="s">
        <v>3830</v>
      </c>
      <c r="F59" s="16" t="s">
        <v>3915</v>
      </c>
      <c r="G59" s="18">
        <v>8</v>
      </c>
      <c r="H59" s="23" t="s">
        <v>4925</v>
      </c>
      <c r="I59" s="17"/>
    </row>
    <row r="60" spans="1:9" ht="15.9" hidden="1" customHeight="1">
      <c r="A60" s="6">
        <v>56</v>
      </c>
      <c r="B60" s="16" t="str">
        <f>HYPERLINK("https://www.ibnsconnect.org/ibns-2022-annual-meeting-glasgow--scotland","2022 - 31st Annual Meeting of International Behavioral Neuroscience Society")</f>
        <v>2022 - 31st Annual Meeting of International Behavioral Neuroscience Society</v>
      </c>
      <c r="C60" s="24" t="s">
        <v>14</v>
      </c>
      <c r="D60" s="24" t="s">
        <v>14</v>
      </c>
      <c r="E60" s="17" t="s">
        <v>3830</v>
      </c>
      <c r="F60" s="16" t="s">
        <v>3916</v>
      </c>
      <c r="G60" s="18">
        <v>8</v>
      </c>
      <c r="H60" s="23" t="s">
        <v>4925</v>
      </c>
      <c r="I60" s="17"/>
    </row>
    <row r="61" spans="1:9" ht="15.9" hidden="1" customHeight="1">
      <c r="A61" s="6">
        <v>57</v>
      </c>
      <c r="B61" s="16" t="str">
        <f>HYPERLINK("https://ibns.memberclicks.net/faqs-2021","2021 - 30th Annual Meeting of International Behavioral Neuroscience Society")</f>
        <v>2021 - 30th Annual Meeting of International Behavioral Neuroscience Society</v>
      </c>
      <c r="C61" s="24" t="s">
        <v>14</v>
      </c>
      <c r="D61" s="17" t="s">
        <v>14</v>
      </c>
      <c r="E61" s="17" t="s">
        <v>3830</v>
      </c>
      <c r="F61" s="16" t="s">
        <v>3831</v>
      </c>
      <c r="G61" s="18">
        <v>8</v>
      </c>
      <c r="H61" s="23" t="s">
        <v>4925</v>
      </c>
      <c r="I61" s="17"/>
    </row>
    <row r="62" spans="1:9" ht="15.9" hidden="1" customHeight="1">
      <c r="A62" s="6">
        <v>58</v>
      </c>
      <c r="B62" s="16" t="str">
        <f>HYPERLINK("https://www.fens.org/news-activities/fens-and-societies-calendar/meeting-event/international-behavioral-neuroscience-society-ibns","2020 - 29th Annual Meeting of International Behavioral Neuroscience Society")</f>
        <v>2020 - 29th Annual Meeting of International Behavioral Neuroscience Society</v>
      </c>
      <c r="C62" s="24" t="s">
        <v>14</v>
      </c>
      <c r="D62" s="17" t="s">
        <v>14</v>
      </c>
      <c r="E62" s="17" t="s">
        <v>3830</v>
      </c>
      <c r="F62" s="16" t="s">
        <v>3832</v>
      </c>
      <c r="G62" s="18">
        <v>8</v>
      </c>
      <c r="H62" s="23" t="s">
        <v>4925</v>
      </c>
      <c r="I62" s="17"/>
    </row>
    <row r="63" spans="1:9" ht="15.9" hidden="1" customHeight="1">
      <c r="A63" s="6">
        <v>59</v>
      </c>
      <c r="B63" s="16" t="str">
        <f>HYPERLINK("https://cinp2024.org/wp-content/themes/CINP/file/CINP2024_Pocket%20Programs_v3.pdf","2024 - 35th International College of Neuropsychopharmacology World Congress")</f>
        <v>2024 - 35th International College of Neuropsychopharmacology World Congress</v>
      </c>
      <c r="C63" s="24" t="s">
        <v>14</v>
      </c>
      <c r="D63" s="17" t="s">
        <v>14</v>
      </c>
      <c r="E63" s="17" t="s">
        <v>3833</v>
      </c>
      <c r="F63" s="16" t="s">
        <v>3834</v>
      </c>
      <c r="G63" s="18">
        <v>5</v>
      </c>
      <c r="H63" s="23" t="s">
        <v>4925</v>
      </c>
      <c r="I63" s="17"/>
    </row>
    <row r="64" spans="1:9" ht="15.9" hidden="1" customHeight="1">
      <c r="A64" s="6">
        <v>60</v>
      </c>
      <c r="B64" s="16" t="str">
        <f>HYPERLINK("https://www.youtube.com/watch?v=NlcnKt--e-Q","2023 - 34th International College of Neuropsychopharmacology World Congress")</f>
        <v>2023 - 34th International College of Neuropsychopharmacology World Congress</v>
      </c>
      <c r="C64" s="24" t="s">
        <v>14</v>
      </c>
      <c r="D64" s="17" t="s">
        <v>14</v>
      </c>
      <c r="E64" s="17" t="s">
        <v>3833</v>
      </c>
      <c r="F64" s="16" t="s">
        <v>3835</v>
      </c>
      <c r="G64" s="18">
        <v>5</v>
      </c>
      <c r="H64" s="23" t="s">
        <v>4925</v>
      </c>
      <c r="I64" s="17"/>
    </row>
    <row r="65" spans="1:9" ht="15.9" hidden="1" customHeight="1">
      <c r="A65" s="6">
        <v>61</v>
      </c>
      <c r="B65" s="16" t="str">
        <f>HYPERLINK("https://www.youtube.com/watch?v=-0DggBk-0mQ&amp;list=PLYqBT0WyWbMkNi0dm6lAnXD2_ck4EAdys","2021 - Virtual International College of Neuropsychopharmacology World Congress")</f>
        <v>2021 - Virtual International College of Neuropsychopharmacology World Congress</v>
      </c>
      <c r="C65" s="24" t="s">
        <v>14</v>
      </c>
      <c r="D65" s="17" t="s">
        <v>14</v>
      </c>
      <c r="E65" s="17" t="s">
        <v>3833</v>
      </c>
      <c r="F65" s="16" t="s">
        <v>3836</v>
      </c>
      <c r="G65" s="18">
        <v>5</v>
      </c>
      <c r="H65" s="23" t="s">
        <v>4925</v>
      </c>
      <c r="I65" s="17"/>
    </row>
    <row r="66" spans="1:9" ht="15.9" hidden="1" customHeight="1">
      <c r="A66" s="6">
        <v>62</v>
      </c>
      <c r="B66" s="16" t="str">
        <f>HYPERLINK("https://www.conftool.org/icp2024/sessions.php","2024 - 82nd Annual Conference of the International Council of Psychologists")</f>
        <v>2024 - 82nd Annual Conference of the International Council of Psychologists</v>
      </c>
      <c r="C66" s="24" t="s">
        <v>14</v>
      </c>
      <c r="D66" s="17" t="s">
        <v>14</v>
      </c>
      <c r="E66" s="17" t="s">
        <v>3837</v>
      </c>
      <c r="F66" s="16" t="s">
        <v>3838</v>
      </c>
      <c r="G66" s="18">
        <v>5</v>
      </c>
      <c r="H66" s="23" t="s">
        <v>4925</v>
      </c>
      <c r="I66" s="17"/>
    </row>
    <row r="67" spans="1:9" ht="15.9" hidden="1" customHeight="1">
      <c r="A67" s="6">
        <v>63</v>
      </c>
      <c r="B67" s="16" t="str">
        <f>HYPERLINK("https://icpweb.org/icp-annual-conference/icp2022-programoverview/","2022 - 80th International Council of Psychologists of Virtual Conference")</f>
        <v>2022 - 80th International Council of Psychologists of Virtual Conference</v>
      </c>
      <c r="C67" s="24" t="s">
        <v>14</v>
      </c>
      <c r="D67" s="17" t="s">
        <v>14</v>
      </c>
      <c r="E67" s="17" t="s">
        <v>3837</v>
      </c>
      <c r="F67" s="16" t="s">
        <v>3839</v>
      </c>
      <c r="G67" s="18">
        <v>5</v>
      </c>
      <c r="H67" s="23" t="s">
        <v>4925</v>
      </c>
      <c r="I67" s="17"/>
    </row>
    <row r="68" spans="1:9" ht="15.9" hidden="1" customHeight="1">
      <c r="A68" s="6">
        <v>64</v>
      </c>
      <c r="B68" s="16" t="str">
        <f>HYPERLINK("https://icpweb.org/icp-annual-conference/icp2021-online/","2021 - 79th International Council of Psychologists of Virtual Conference")</f>
        <v>2021 - 79th International Council of Psychologists of Virtual Conference</v>
      </c>
      <c r="C68" s="24" t="s">
        <v>14</v>
      </c>
      <c r="D68" s="17" t="s">
        <v>14</v>
      </c>
      <c r="E68" s="17" t="s">
        <v>3837</v>
      </c>
      <c r="F68" s="16" t="s">
        <v>3840</v>
      </c>
      <c r="G68" s="18">
        <v>5</v>
      </c>
      <c r="H68" s="23" t="s">
        <v>4925</v>
      </c>
      <c r="I68" s="17"/>
    </row>
    <row r="69" spans="1:9" ht="15.9" hidden="1" customHeight="1">
      <c r="A69" s="6">
        <v>65</v>
      </c>
      <c r="B69" s="16" t="str">
        <f>HYPERLINK("https://icpweb.org/icp-annual-conference/icp2020-virtualonline/#opening","2020 - 78th International Council of Psychologists Annual Conference")</f>
        <v>2020 - 78th International Council of Psychologists Annual Conference</v>
      </c>
      <c r="C69" s="24" t="s">
        <v>14</v>
      </c>
      <c r="D69" s="17" t="s">
        <v>14</v>
      </c>
      <c r="E69" s="17" t="s">
        <v>3837</v>
      </c>
      <c r="F69" s="16" t="s">
        <v>3841</v>
      </c>
      <c r="G69" s="18">
        <v>5</v>
      </c>
      <c r="H69" s="23" t="s">
        <v>4925</v>
      </c>
      <c r="I69" s="17"/>
    </row>
    <row r="70" spans="1:9" ht="15.9" hidden="1" customHeight="1">
      <c r="A70" s="6">
        <v>66</v>
      </c>
      <c r="B70" s="16" t="str">
        <f>HYPERLINK("https://organizers-congress.org/frontend/index.php?page_id=9496&amp;v=List","2023 - 14th International Conference on Early Intervention and Prevention in Mental Health")</f>
        <v>2023 - 14th International Conference on Early Intervention and Prevention in Mental Health</v>
      </c>
      <c r="C70" s="24" t="s">
        <v>14</v>
      </c>
      <c r="D70" s="17" t="s">
        <v>14</v>
      </c>
      <c r="E70" s="17" t="s">
        <v>3842</v>
      </c>
      <c r="F70" s="16" t="s">
        <v>3843</v>
      </c>
      <c r="G70" s="18">
        <v>4</v>
      </c>
      <c r="H70" s="23" t="s">
        <v>4925</v>
      </c>
      <c r="I70" s="17"/>
    </row>
    <row r="71" spans="1:9" ht="15.9" hidden="1" customHeight="1">
      <c r="A71" s="6">
        <v>67</v>
      </c>
      <c r="B71" s="16" t="str">
        <f>HYPERLINK("https://www.iepaconference.org/iepa12/program-at-a-glance/","2020 - 12th International Conference on Early Intervention and Prevention in Mental Health")</f>
        <v>2020 - 12th International Conference on Early Intervention and Prevention in Mental Health</v>
      </c>
      <c r="C71" s="24" t="s">
        <v>14</v>
      </c>
      <c r="D71" s="17" t="s">
        <v>14</v>
      </c>
      <c r="E71" s="17" t="s">
        <v>3842</v>
      </c>
      <c r="F71" s="16" t="s">
        <v>3844</v>
      </c>
      <c r="G71" s="18">
        <v>4</v>
      </c>
      <c r="H71" s="23" t="s">
        <v>4925</v>
      </c>
      <c r="I71" s="17"/>
    </row>
    <row r="72" spans="1:9" ht="15.9" hidden="1" customHeight="1">
      <c r="A72" s="6">
        <v>68</v>
      </c>
      <c r="B72" s="16" t="str">
        <f>HYPERLINK("https://airdrive.eventsair.com/eventsairaueprod/production-waldronsmith-public/2ac1c2c9b56c4e869a3ab67dba0cbc75","2024 - 13th International Congress on International Neuropsychiatric Association")</f>
        <v>2024 - 13th International Congress on International Neuropsychiatric Association</v>
      </c>
      <c r="C72" s="24" t="s">
        <v>14</v>
      </c>
      <c r="D72" s="17" t="s">
        <v>14</v>
      </c>
      <c r="E72" s="17" t="s">
        <v>3845</v>
      </c>
      <c r="F72" s="16" t="s">
        <v>3846</v>
      </c>
      <c r="G72" s="18">
        <v>3</v>
      </c>
      <c r="H72" s="23" t="s">
        <v>4325</v>
      </c>
      <c r="I72" s="17"/>
    </row>
    <row r="73" spans="1:9" ht="15.9" hidden="1" customHeight="1">
      <c r="A73" s="6">
        <v>69</v>
      </c>
      <c r="B73" s="16" t="str">
        <f>HYPERLINK("https://inawebsite.org/faculty-of-neuropsychiatry-annual-conference-2022/","2022 - 12th International Congress on International Neuropsychiatric Association")</f>
        <v>2022 - 12th International Congress on International Neuropsychiatric Association</v>
      </c>
      <c r="C73" s="24" t="s">
        <v>14</v>
      </c>
      <c r="D73" s="17" t="s">
        <v>14</v>
      </c>
      <c r="E73" s="17" t="s">
        <v>3845</v>
      </c>
      <c r="F73" s="16" t="s">
        <v>3847</v>
      </c>
      <c r="G73" s="18">
        <v>3</v>
      </c>
      <c r="H73" s="23" t="s">
        <v>4325</v>
      </c>
      <c r="I73" s="17"/>
    </row>
    <row r="74" spans="1:9" ht="15.9" hidden="1" customHeight="1">
      <c r="A74" s="6">
        <v>70</v>
      </c>
      <c r="B74" s="16" t="str">
        <f>HYPERLINK("https://the-ins.org/wp-content/uploads/2024/02/Program-book-NYC2024.pdf","2024 - 52nd Annual Meeting of International Neuropsychological Society")</f>
        <v>2024 - 52nd Annual Meeting of International Neuropsychological Society</v>
      </c>
      <c r="C74" s="24" t="s">
        <v>14</v>
      </c>
      <c r="D74" s="17" t="s">
        <v>14</v>
      </c>
      <c r="E74" s="17" t="s">
        <v>3848</v>
      </c>
      <c r="F74" s="16" t="s">
        <v>3849</v>
      </c>
      <c r="G74" s="18">
        <v>5</v>
      </c>
      <c r="H74" s="23" t="s">
        <v>4925</v>
      </c>
      <c r="I74" s="17"/>
    </row>
    <row r="75" spans="1:9" ht="15.9" hidden="1" customHeight="1">
      <c r="A75" s="6">
        <v>71</v>
      </c>
      <c r="B75" s="16" t="str">
        <f>HYPERLINK("https://the-ins.org/files/meetings/sandiego2023/program-book/San_Diego_2023-program_book.pdf","2023 - 51st Annual Meeting of International Neuropsychological Society")</f>
        <v>2023 - 51st Annual Meeting of International Neuropsychological Society</v>
      </c>
      <c r="C75" s="24" t="s">
        <v>14</v>
      </c>
      <c r="D75" s="17" t="s">
        <v>14</v>
      </c>
      <c r="E75" s="17" t="s">
        <v>3848</v>
      </c>
      <c r="F75" s="16" t="s">
        <v>3851</v>
      </c>
      <c r="G75" s="18">
        <v>5</v>
      </c>
      <c r="H75" s="23" t="s">
        <v>4925</v>
      </c>
      <c r="I75" s="17"/>
    </row>
    <row r="76" spans="1:9" ht="15.9" hidden="1" customHeight="1">
      <c r="A76" s="6">
        <v>72</v>
      </c>
      <c r="B76" s="16" t="str">
        <f>HYPERLINK("https://the-ins.org/wp-content/uploads/2024/07/program-book-taiwan-2023-web.pdf","2023 - International Neuropsychological Society Mid-year Meeting, Taiwan")</f>
        <v>2023 - International Neuropsychological Society Mid-year Meeting, Taiwan</v>
      </c>
      <c r="C76" s="24" t="s">
        <v>14</v>
      </c>
      <c r="D76" s="17" t="s">
        <v>14</v>
      </c>
      <c r="E76" s="17" t="s">
        <v>3848</v>
      </c>
      <c r="F76" s="16" t="s">
        <v>3850</v>
      </c>
      <c r="G76" s="18">
        <v>5</v>
      </c>
      <c r="H76" s="23" t="s">
        <v>4925</v>
      </c>
      <c r="I76" s="17"/>
    </row>
    <row r="77" spans="1:9" ht="15.9" hidden="1" customHeight="1">
      <c r="A77" s="6">
        <v>73</v>
      </c>
      <c r="B77" s="16" t="str">
        <f>HYPERLINK("https://the-ins.org/files/meetings/nola2022/program_book/NOLA%202022%20Oxford%20Abstracts%20Program_Final.pdf","2022 - 50th Annual Virtual Meeting of International Neuropsychological Society")</f>
        <v>2022 - 50th Annual Virtual Meeting of International Neuropsychological Society</v>
      </c>
      <c r="C77" s="24" t="s">
        <v>14</v>
      </c>
      <c r="D77" s="17" t="s">
        <v>14</v>
      </c>
      <c r="E77" s="17" t="s">
        <v>3848</v>
      </c>
      <c r="F77" s="16" t="s">
        <v>3853</v>
      </c>
      <c r="G77" s="18">
        <v>5</v>
      </c>
      <c r="H77" s="23" t="s">
        <v>4925</v>
      </c>
      <c r="I77" s="17"/>
    </row>
    <row r="78" spans="1:9" ht="15.9" hidden="1" customHeight="1">
      <c r="A78" s="6">
        <v>74</v>
      </c>
      <c r="B78" s="16" t="str">
        <f>HYPERLINK("https://the-ins.org/files/meetings/barcelona2022/program_book/PROGRAMA_FINAL_INS_2022.pdf","2022 - International Neuropsychological Society Mid-year Meeting, Barcelona")</f>
        <v>2022 - International Neuropsychological Society Mid-year Meeting, Barcelona</v>
      </c>
      <c r="C78" s="24" t="s">
        <v>14</v>
      </c>
      <c r="D78" s="17" t="s">
        <v>14</v>
      </c>
      <c r="E78" s="17" t="s">
        <v>3848</v>
      </c>
      <c r="F78" s="16" t="s">
        <v>3852</v>
      </c>
      <c r="G78" s="18">
        <v>5</v>
      </c>
      <c r="H78" s="23" t="s">
        <v>4925</v>
      </c>
      <c r="I78" s="17"/>
    </row>
    <row r="79" spans="1:9" ht="15.9" hidden="1" customHeight="1">
      <c r="A79" s="6">
        <v>75</v>
      </c>
      <c r="B79" s="16" t="str">
        <f>HYPERLINK("https://the-ins.org/files/meetings/sandiego2021/program_book/sandiego2021-program_book.pdf","2021 - 49th Annual Virtual Meeting of International Neuropsychological Society")</f>
        <v>2021 - 49th Annual Virtual Meeting of International Neuropsychological Society</v>
      </c>
      <c r="C79" s="24" t="s">
        <v>14</v>
      </c>
      <c r="D79" s="17" t="s">
        <v>14</v>
      </c>
      <c r="E79" s="17" t="s">
        <v>3848</v>
      </c>
      <c r="F79" s="16" t="s">
        <v>3855</v>
      </c>
      <c r="G79" s="18">
        <v>5</v>
      </c>
      <c r="H79" s="23" t="s">
        <v>4925</v>
      </c>
      <c r="I79" s="17"/>
    </row>
    <row r="80" spans="1:9" ht="15.9" hidden="1" customHeight="1">
      <c r="A80" s="6">
        <v>76</v>
      </c>
      <c r="B80" s="16" t="str">
        <f>HYPERLINK("https://the-ins.org/files/meetings/melbourne2021/program_book/Final_Program_2021_S2.pdf","2021 - International Neuropsychological Society Mid-year Meeting, Melbourne")</f>
        <v>2021 - International Neuropsychological Society Mid-year Meeting, Melbourne</v>
      </c>
      <c r="C80" s="24" t="s">
        <v>14</v>
      </c>
      <c r="D80" s="17" t="s">
        <v>14</v>
      </c>
      <c r="E80" s="17" t="s">
        <v>3848</v>
      </c>
      <c r="F80" s="16" t="s">
        <v>3854</v>
      </c>
      <c r="G80" s="18">
        <v>5</v>
      </c>
      <c r="H80" s="23" t="s">
        <v>4925</v>
      </c>
      <c r="I80" s="17"/>
    </row>
    <row r="81" spans="1:9" ht="15.9" hidden="1" customHeight="1">
      <c r="A81" s="6">
        <v>77</v>
      </c>
      <c r="B81" s="16" t="str">
        <f>HYPERLINK("https://the-ins.org/wp-content/uploads/2024/07/denver_2020_program_book_online.pdf","2020 - 48th Annual Meeting of International Neuropsychological Society")</f>
        <v>2020 - 48th Annual Meeting of International Neuropsychological Society</v>
      </c>
      <c r="C81" s="24" t="s">
        <v>14</v>
      </c>
      <c r="D81" s="17" t="s">
        <v>14</v>
      </c>
      <c r="E81" s="17" t="s">
        <v>3848</v>
      </c>
      <c r="F81" s="16" t="s">
        <v>3857</v>
      </c>
      <c r="G81" s="18">
        <v>5</v>
      </c>
      <c r="H81" s="23" t="s">
        <v>4925</v>
      </c>
      <c r="I81" s="17"/>
    </row>
    <row r="82" spans="1:9" ht="15.9" hidden="1" customHeight="1">
      <c r="A82" s="6">
        <v>78</v>
      </c>
      <c r="B82" s="16" t="str">
        <f>HYPERLINK("https://www.cambridge.org/core/services/aop-cambridge-core/content/view/3BCBDBE82517B794069DC05136381104/S1355617721000953a.pdf/final_program_2020_virtual_event_international_neuropsychological_society_july_12_2020.pdf","2020 - International Neuropsychological Society Mid-year Meeting, Vienna")</f>
        <v>2020 - International Neuropsychological Society Mid-year Meeting, Vienna</v>
      </c>
      <c r="C82" s="24" t="s">
        <v>14</v>
      </c>
      <c r="D82" s="17" t="s">
        <v>14</v>
      </c>
      <c r="E82" s="17" t="s">
        <v>3848</v>
      </c>
      <c r="F82" s="16" t="s">
        <v>3856</v>
      </c>
      <c r="G82" s="18">
        <v>5</v>
      </c>
      <c r="H82" s="23" t="s">
        <v>4925</v>
      </c>
      <c r="I82" s="17"/>
    </row>
    <row r="83" spans="1:9" ht="15.9" hidden="1" customHeight="1">
      <c r="A83" s="6">
        <v>79</v>
      </c>
      <c r="B83" s="16" t="str">
        <f>HYPERLINK("https://www.globalneuropsychology.org/program/final-program","2024 - Global Neuropsychology Congress")</f>
        <v>2024 - Global Neuropsychology Congress</v>
      </c>
      <c r="C83" s="24" t="s">
        <v>14</v>
      </c>
      <c r="D83" s="17" t="s">
        <v>14</v>
      </c>
      <c r="E83" s="17" t="s">
        <v>3858</v>
      </c>
      <c r="F83" s="16" t="s">
        <v>3859</v>
      </c>
      <c r="G83" s="18">
        <v>5</v>
      </c>
      <c r="H83" s="23" t="s">
        <v>4925</v>
      </c>
      <c r="I83" s="17"/>
    </row>
    <row r="84" spans="1:9" ht="15.9" hidden="1" customHeight="1">
      <c r="A84" s="6">
        <v>80</v>
      </c>
      <c r="B84" s="16" t="str">
        <f>HYPERLINK("https://congresoioptmh.godaddysites.com/program","2024 - 10th International Organization of Physiotherapy in Mental Health (IOPTMH)")</f>
        <v>2024 - 10th International Organization of Physiotherapy in Mental Health (IOPTMH)</v>
      </c>
      <c r="C84" s="24" t="s">
        <v>14</v>
      </c>
      <c r="D84" s="24" t="s">
        <v>14</v>
      </c>
      <c r="E84" s="17" t="s">
        <v>3902</v>
      </c>
      <c r="F84" s="16" t="s">
        <v>3903</v>
      </c>
      <c r="G84" s="18">
        <v>4</v>
      </c>
      <c r="H84" s="23" t="s">
        <v>4925</v>
      </c>
      <c r="I84" s="17"/>
    </row>
    <row r="85" spans="1:9" ht="15.9" hidden="1" customHeight="1">
      <c r="A85" s="6">
        <v>81</v>
      </c>
      <c r="B85" s="16" t="str">
        <f>HYPERLINK("https://www.ioptmh2022.com/live-streaming/","2022 - 9th International Organization of Physiotherapy in Mental Health (IOPTMH)")</f>
        <v>2022 - 9th International Organization of Physiotherapy in Mental Health (IOPTMH)</v>
      </c>
      <c r="C85" s="24" t="s">
        <v>14</v>
      </c>
      <c r="D85" s="24" t="s">
        <v>14</v>
      </c>
      <c r="E85" s="17" t="s">
        <v>3902</v>
      </c>
      <c r="F85" s="16" t="s">
        <v>3904</v>
      </c>
      <c r="G85" s="18">
        <v>4</v>
      </c>
      <c r="H85" s="23" t="s">
        <v>4925</v>
      </c>
      <c r="I85" s="17"/>
    </row>
    <row r="86" spans="1:9" ht="15.9" hidden="1" customHeight="1">
      <c r="A86" s="6">
        <v>82</v>
      </c>
      <c r="B86" s="16" t="str">
        <f>HYPERLINK("https://www.csp.org.uk/system/files/documents/2022-11/abstract_book_icpppmh_2020.pdf","2021 - 8th International Organization of Physiotherapy in Mental Health (IOPTMH)")</f>
        <v>2021 - 8th International Organization of Physiotherapy in Mental Health (IOPTMH)</v>
      </c>
      <c r="C86" s="24" t="s">
        <v>14</v>
      </c>
      <c r="D86" s="24" t="s">
        <v>14</v>
      </c>
      <c r="E86" s="17" t="s">
        <v>3902</v>
      </c>
      <c r="F86" s="16" t="s">
        <v>3905</v>
      </c>
      <c r="G86" s="18">
        <v>4</v>
      </c>
      <c r="H86" s="23" t="s">
        <v>4925</v>
      </c>
      <c r="I86" s="17"/>
    </row>
    <row r="87" spans="1:9" ht="15.9" hidden="1" customHeight="1">
      <c r="A87" s="6">
        <v>83</v>
      </c>
      <c r="B87" s="16" t="str">
        <f>HYPERLINK("https://www.ipa.world/IPA/en/news_and_events/Congress_programme.aspx","2023 - 53rd International Psychoanalytic Association Congress")</f>
        <v>2023 - 53rd International Psychoanalytic Association Congress</v>
      </c>
      <c r="C87" s="24" t="s">
        <v>14</v>
      </c>
      <c r="D87" s="17" t="s">
        <v>14</v>
      </c>
      <c r="E87" s="17" t="s">
        <v>3860</v>
      </c>
      <c r="F87" s="16" t="s">
        <v>3861</v>
      </c>
      <c r="G87" s="18">
        <v>5</v>
      </c>
      <c r="H87" s="23" t="s">
        <v>4925</v>
      </c>
      <c r="I87" s="17"/>
    </row>
    <row r="88" spans="1:9" ht="15.9" hidden="1" customHeight="1">
      <c r="A88" s="6">
        <v>84</v>
      </c>
      <c r="B88" s="16" t="str">
        <f>HYPERLINK("https://www.ipa.world/IPA/en/news_and_events/Congress_programme.aspx","2021 - 52nd International Psychoanalytic Association Congress")</f>
        <v>2021 - 52nd International Psychoanalytic Association Congress</v>
      </c>
      <c r="C88" s="24" t="s">
        <v>14</v>
      </c>
      <c r="D88" s="17" t="s">
        <v>14</v>
      </c>
      <c r="E88" s="17" t="s">
        <v>3860</v>
      </c>
      <c r="F88" s="16" t="s">
        <v>3861</v>
      </c>
      <c r="G88" s="18">
        <v>5</v>
      </c>
      <c r="H88" s="23" t="s">
        <v>4925</v>
      </c>
      <c r="I88" s="17"/>
    </row>
    <row r="89" spans="1:9" ht="15.9" hidden="1" customHeight="1">
      <c r="A89" s="6">
        <v>85</v>
      </c>
      <c r="B89" s="16" t="str">
        <f>HYPERLINK("https://www.ipa-online.org/events/2024-international-congress/program","2024 - International Psychogeriatric Association Congress")</f>
        <v>2024 - International Psychogeriatric Association Congress</v>
      </c>
      <c r="C89" s="24" t="s">
        <v>14</v>
      </c>
      <c r="D89" s="17" t="s">
        <v>14</v>
      </c>
      <c r="E89" s="17" t="s">
        <v>4332</v>
      </c>
      <c r="F89" s="16" t="s">
        <v>4738</v>
      </c>
      <c r="G89" s="18">
        <v>5</v>
      </c>
      <c r="H89" s="23" t="s">
        <v>4925</v>
      </c>
      <c r="I89" s="17"/>
    </row>
    <row r="90" spans="1:9" ht="15.9" hidden="1" customHeight="1">
      <c r="A90" s="6">
        <v>86</v>
      </c>
      <c r="B90" s="16" t="str">
        <f>HYPERLINK("https://www.ipa-online.org/events/2023/program","2023 - International Psychogeriatric Association Congress")</f>
        <v>2023 - International Psychogeriatric Association Congress</v>
      </c>
      <c r="C90" s="24" t="s">
        <v>14</v>
      </c>
      <c r="D90" s="17" t="s">
        <v>14</v>
      </c>
      <c r="E90" s="17" t="s">
        <v>4332</v>
      </c>
      <c r="F90" s="16" t="s">
        <v>4739</v>
      </c>
      <c r="G90" s="18">
        <v>5</v>
      </c>
      <c r="H90" s="23" t="s">
        <v>4925</v>
      </c>
      <c r="I90" s="17"/>
    </row>
    <row r="91" spans="1:9" ht="15.9" hidden="1" customHeight="1">
      <c r="A91" s="6">
        <v>87</v>
      </c>
      <c r="B91" s="16" t="str">
        <f>HYPERLINK("https://www.ipa-online.org/events/annual-congress/past-ipa-congresses","2022 - International Psychogeriatric Association Congress")</f>
        <v>2022 - International Psychogeriatric Association Congress</v>
      </c>
      <c r="C91" s="24" t="s">
        <v>14</v>
      </c>
      <c r="D91" s="17" t="s">
        <v>14</v>
      </c>
      <c r="E91" s="17" t="s">
        <v>4332</v>
      </c>
      <c r="F91" s="16" t="s">
        <v>4740</v>
      </c>
      <c r="G91" s="18">
        <v>5</v>
      </c>
      <c r="H91" s="23" t="s">
        <v>4925</v>
      </c>
      <c r="I91" s="17"/>
    </row>
    <row r="92" spans="1:9" ht="15.9" hidden="1" customHeight="1">
      <c r="A92" s="6">
        <v>88</v>
      </c>
      <c r="B92" s="16" t="str">
        <f>HYPERLINK("https://www.ipa-online.org/events/annual-congress/past-ipa-congresses","2021 - International Psychogeriatric Association Congress")</f>
        <v>2021 - International Psychogeriatric Association Congress</v>
      </c>
      <c r="C92" s="24" t="s">
        <v>14</v>
      </c>
      <c r="D92" s="17" t="s">
        <v>14</v>
      </c>
      <c r="E92" s="17" t="s">
        <v>4332</v>
      </c>
      <c r="F92" s="16" t="s">
        <v>4740</v>
      </c>
      <c r="G92" s="18">
        <v>5</v>
      </c>
      <c r="H92" s="23" t="s">
        <v>4925</v>
      </c>
      <c r="I92" s="17"/>
    </row>
    <row r="93" spans="1:9" ht="15.9" hidden="1" customHeight="1">
      <c r="A93" s="6">
        <v>89</v>
      </c>
      <c r="B93" s="16" t="str">
        <f>HYPERLINK("https://www.ipa-online.org/events/annual-congress/past-ipa-congresses","2020 - International Psychogeriatric Association Congress")</f>
        <v>2020 - International Psychogeriatric Association Congress</v>
      </c>
      <c r="C93" s="24" t="s">
        <v>14</v>
      </c>
      <c r="D93" s="17" t="s">
        <v>14</v>
      </c>
      <c r="E93" s="17" t="s">
        <v>4332</v>
      </c>
      <c r="F93" s="16" t="s">
        <v>4740</v>
      </c>
      <c r="G93" s="18">
        <v>5</v>
      </c>
      <c r="H93" s="23" t="s">
        <v>4925</v>
      </c>
      <c r="I93" s="17"/>
    </row>
    <row r="94" spans="1:9" ht="15.9" hidden="1" customHeight="1">
      <c r="A94" s="6">
        <v>90</v>
      </c>
      <c r="B94" s="16" t="str">
        <f>HYPERLINK("https://isbngroup.net/annual-meeting","2024 - 31st Annual Meeting of International Society for Behavioural Neuroscience")</f>
        <v>2024 - 31st Annual Meeting of International Society for Behavioural Neuroscience</v>
      </c>
      <c r="C94" s="24" t="s">
        <v>14</v>
      </c>
      <c r="D94" s="17" t="s">
        <v>14</v>
      </c>
      <c r="E94" s="17" t="s">
        <v>3862</v>
      </c>
      <c r="F94" s="16" t="s">
        <v>3863</v>
      </c>
      <c r="G94" s="18">
        <v>8</v>
      </c>
      <c r="H94" s="23" t="s">
        <v>4925</v>
      </c>
      <c r="I94" s="17"/>
    </row>
    <row r="95" spans="1:9" ht="15.9" hidden="1" customHeight="1">
      <c r="A95" s="6">
        <v>91</v>
      </c>
      <c r="B95" s="16" t="str">
        <f>HYPERLINK("https://isbngroup.net/2023-hamburg-germany","2023 - 30th Annual Meeting of International Society for Behavioural Neuroscience")</f>
        <v>2023 - 30th Annual Meeting of International Society for Behavioural Neuroscience</v>
      </c>
      <c r="C95" s="24" t="s">
        <v>14</v>
      </c>
      <c r="D95" s="17" t="s">
        <v>14</v>
      </c>
      <c r="E95" s="17" t="s">
        <v>3862</v>
      </c>
      <c r="F95" s="16" t="s">
        <v>3864</v>
      </c>
      <c r="G95" s="18">
        <v>8</v>
      </c>
      <c r="H95" s="23" t="s">
        <v>4925</v>
      </c>
      <c r="I95" s="17"/>
    </row>
    <row r="96" spans="1:9" ht="15.9" hidden="1" customHeight="1">
      <c r="A96" s="6">
        <v>92</v>
      </c>
      <c r="B96" s="16" t="str">
        <f>HYPERLINK("https://isbngroup.net/2022-stjohns","2022 - 29th Annual Meeting of International Society for Behavioural Neuroscience")</f>
        <v>2022 - 29th Annual Meeting of International Society for Behavioural Neuroscience</v>
      </c>
      <c r="C96" s="24" t="s">
        <v>14</v>
      </c>
      <c r="D96" s="17" t="s">
        <v>14</v>
      </c>
      <c r="E96" s="17" t="s">
        <v>3862</v>
      </c>
      <c r="F96" s="16" t="s">
        <v>3865</v>
      </c>
      <c r="G96" s="18">
        <v>8</v>
      </c>
      <c r="H96" s="23" t="s">
        <v>4925</v>
      </c>
      <c r="I96" s="17"/>
    </row>
    <row r="97" spans="1:9" ht="15.9" hidden="1" customHeight="1">
      <c r="A97" s="6">
        <v>93</v>
      </c>
      <c r="B97" s="16" t="str">
        <f>HYPERLINK("https://isbngroup.net/2021-virtual-meeting","2021 - 28th Annual Meeting of International Society for Behavioural Neuroscience")</f>
        <v>2021 - 28th Annual Meeting of International Society for Behavioural Neuroscience</v>
      </c>
      <c r="C97" s="24" t="s">
        <v>14</v>
      </c>
      <c r="D97" s="17" t="s">
        <v>14</v>
      </c>
      <c r="E97" s="17" t="s">
        <v>3862</v>
      </c>
      <c r="F97" s="16" t="s">
        <v>3866</v>
      </c>
      <c r="G97" s="18">
        <v>8</v>
      </c>
      <c r="H97" s="23" t="s">
        <v>4925</v>
      </c>
      <c r="I97" s="17"/>
    </row>
    <row r="98" spans="1:9" ht="15.9" hidden="1" customHeight="1">
      <c r="A98" s="6">
        <v>94</v>
      </c>
      <c r="B98" s="16" t="str">
        <f>HYPERLINK("https://confedent.eventsair.com/isps-2024/parallel-session-programme","2024 - 23rd International Conference on International Society for Psychological and Social Approaches to Psychosis")</f>
        <v>2024 - 23rd International Conference on International Society for Psychological and Social Approaches to Psychosis</v>
      </c>
      <c r="C98" s="24" t="s">
        <v>14</v>
      </c>
      <c r="D98" s="17" t="s">
        <v>14</v>
      </c>
      <c r="E98" s="17" t="s">
        <v>3867</v>
      </c>
      <c r="F98" s="16" t="s">
        <v>3868</v>
      </c>
      <c r="G98" s="18">
        <v>3</v>
      </c>
      <c r="H98" s="23" t="s">
        <v>4325</v>
      </c>
      <c r="I98" s="17"/>
    </row>
    <row r="99" spans="1:9" ht="15.9" hidden="1" customHeight="1">
      <c r="A99" s="6">
        <v>95</v>
      </c>
      <c r="B99" s="16" t="str">
        <f>HYPERLINK("https://static.emedevents.com/uploads/conferences/session_brochure/846c77c5e5648cc16f1bd3208f8fe75d.pdf","2022 - 22nd International Conference on International Society for Psychological and Social Approaches to Psychosis")</f>
        <v>2022 - 22nd International Conference on International Society for Psychological and Social Approaches to Psychosis</v>
      </c>
      <c r="C99" s="24" t="s">
        <v>14</v>
      </c>
      <c r="D99" s="17" t="s">
        <v>14</v>
      </c>
      <c r="E99" s="17" t="s">
        <v>3867</v>
      </c>
      <c r="F99" s="16" t="s">
        <v>3869</v>
      </c>
      <c r="G99" s="18">
        <v>3</v>
      </c>
      <c r="H99" s="23" t="s">
        <v>4325</v>
      </c>
      <c r="I99" s="17"/>
    </row>
    <row r="100" spans="1:9" ht="15.9" hidden="1" customHeight="1">
      <c r="A100" s="6">
        <v>96</v>
      </c>
      <c r="B100" s="16" t="str">
        <f>HYPERLINK("https://ispsusconference2024.sched.com/print","2024 - 23rd Annual Meeting of International Society for Psychological and Social Approaches to Psychosis United States Chapter (ISPS US)")</f>
        <v>2024 - 23rd Annual Meeting of International Society for Psychological and Social Approaches to Psychosis United States Chapter (ISPS US)</v>
      </c>
      <c r="C100" s="24" t="s">
        <v>14</v>
      </c>
      <c r="D100" s="24" t="s">
        <v>14</v>
      </c>
      <c r="E100" s="17" t="s">
        <v>4254</v>
      </c>
      <c r="F100" s="16" t="s">
        <v>4255</v>
      </c>
      <c r="G100" s="18">
        <v>3</v>
      </c>
      <c r="H100" s="23" t="s">
        <v>4325</v>
      </c>
      <c r="I100" s="17"/>
    </row>
    <row r="101" spans="1:9" ht="15.9" hidden="1" customHeight="1">
      <c r="A101" s="6">
        <v>97</v>
      </c>
      <c r="B101" s="16" t="str">
        <f>HYPERLINK("https://ispsus2023.sched.com/print","2023 - 22nd Annual Meeting of International Society for Psychological and Social Approaches to Psychosis United States Chapter (ISPS US)")</f>
        <v>2023 - 22nd Annual Meeting of International Society for Psychological and Social Approaches to Psychosis United States Chapter (ISPS US)</v>
      </c>
      <c r="C101" s="24" t="s">
        <v>14</v>
      </c>
      <c r="D101" s="24" t="s">
        <v>14</v>
      </c>
      <c r="E101" s="17" t="s">
        <v>4254</v>
      </c>
      <c r="F101" s="16" t="s">
        <v>4256</v>
      </c>
      <c r="G101" s="18">
        <v>3</v>
      </c>
      <c r="H101" s="23" t="s">
        <v>4325</v>
      </c>
      <c r="I101" s="17"/>
    </row>
    <row r="102" spans="1:9" ht="15.9" hidden="1" customHeight="1">
      <c r="A102" s="6">
        <v>98</v>
      </c>
      <c r="B102" s="16" t="str">
        <f>HYPERLINK("https://ispsusconference.sched.com/print","2022 - 21st Annual Meeting of International Society for Psychological and Social Approaches to Psychosis United States Chapter (ISPS US)")</f>
        <v>2022 - 21st Annual Meeting of International Society for Psychological and Social Approaches to Psychosis United States Chapter (ISPS US)</v>
      </c>
      <c r="C102" s="24" t="s">
        <v>14</v>
      </c>
      <c r="D102" s="24" t="s">
        <v>14</v>
      </c>
      <c r="E102" s="17" t="s">
        <v>4254</v>
      </c>
      <c r="F102" s="16" t="s">
        <v>4257</v>
      </c>
      <c r="G102" s="18">
        <v>3</v>
      </c>
      <c r="H102" s="23" t="s">
        <v>4325</v>
      </c>
      <c r="I102" s="17"/>
    </row>
    <row r="103" spans="1:9" ht="15.9" hidden="1" customHeight="1">
      <c r="A103" s="6">
        <v>99</v>
      </c>
      <c r="B103" s="16" t="str">
        <f>HYPERLINK("https://www.youtube.com/playlist?list=PLyn_Ty_RtNz4woQIBk8Tl4rVJEEFhnf_2","2021 - 20th Annual Meeting of International Society for Psychological and Social Approaches to Psychosis United States Chapter (ISPS US)")</f>
        <v>2021 - 20th Annual Meeting of International Society for Psychological and Social Approaches to Psychosis United States Chapter (ISPS US)</v>
      </c>
      <c r="C103" s="24" t="s">
        <v>14</v>
      </c>
      <c r="D103" s="24" t="s">
        <v>14</v>
      </c>
      <c r="E103" s="17" t="s">
        <v>4254</v>
      </c>
      <c r="F103" s="16" t="s">
        <v>4258</v>
      </c>
      <c r="G103" s="18">
        <v>3</v>
      </c>
      <c r="H103" s="23" t="s">
        <v>4325</v>
      </c>
      <c r="I103" s="17"/>
    </row>
    <row r="104" spans="1:9" ht="15.9" hidden="1" customHeight="1">
      <c r="A104" s="6">
        <v>100</v>
      </c>
      <c r="B104" s="16" t="str">
        <f>HYPERLINK("https://gaudillieredavoine.com/wp-content/uploads/2020/09/19-annual-meeting-program-schedule.pdf","2020 - 19th Annual Meeting of International Society for Psychological and Social Approaches to Psychosis United States Chapter (ISPS US)")</f>
        <v>2020 - 19th Annual Meeting of International Society for Psychological and Social Approaches to Psychosis United States Chapter (ISPS US)</v>
      </c>
      <c r="C104" s="24" t="s">
        <v>14</v>
      </c>
      <c r="D104" s="24" t="s">
        <v>14</v>
      </c>
      <c r="E104" s="17" t="s">
        <v>4254</v>
      </c>
      <c r="F104" s="16" t="s">
        <v>4259</v>
      </c>
      <c r="G104" s="18">
        <v>3</v>
      </c>
      <c r="H104" s="23" t="s">
        <v>4325</v>
      </c>
      <c r="I104" s="17"/>
    </row>
    <row r="105" spans="1:9" ht="15.9" hidden="1" customHeight="1">
      <c r="A105" s="6">
        <v>101</v>
      </c>
      <c r="B105" s="16" t="str">
        <f>HYPERLINK("https://www.ispn-psych.org/assets/2024_Conference/2024%20Final%20Program%20v8.pdf","2024 - 26th Annual Conference of International Society of Psychiatric-Mental Health Nurses")</f>
        <v>2024 - 26th Annual Conference of International Society of Psychiatric-Mental Health Nurses</v>
      </c>
      <c r="C105" s="24" t="s">
        <v>14</v>
      </c>
      <c r="D105" s="17" t="s">
        <v>14</v>
      </c>
      <c r="E105" s="17" t="s">
        <v>3870</v>
      </c>
      <c r="F105" s="16" t="s">
        <v>3871</v>
      </c>
      <c r="G105" s="18">
        <v>4</v>
      </c>
      <c r="H105" s="23" t="s">
        <v>4925</v>
      </c>
      <c r="I105" s="17"/>
    </row>
    <row r="106" spans="1:9" ht="15.9" hidden="1" customHeight="1">
      <c r="A106" s="6">
        <v>102</v>
      </c>
      <c r="B106" s="16" t="str">
        <f>HYPERLINK("https://www.ispn-psych.org/assets/2023_Conference/2023%20Final%20Program%20v9.pdf","2023 - 25th Annual Conference of International Society of Psychiatric-Mental Health Nurses")</f>
        <v>2023 - 25th Annual Conference of International Society of Psychiatric-Mental Health Nurses</v>
      </c>
      <c r="C106" s="24" t="s">
        <v>14</v>
      </c>
      <c r="D106" s="17" t="s">
        <v>14</v>
      </c>
      <c r="E106" s="17" t="s">
        <v>3870</v>
      </c>
      <c r="F106" s="16" t="s">
        <v>3872</v>
      </c>
      <c r="G106" s="18">
        <v>4</v>
      </c>
      <c r="H106" s="23" t="s">
        <v>4925</v>
      </c>
      <c r="I106" s="17"/>
    </row>
    <row r="107" spans="1:9" ht="15.9" hidden="1" customHeight="1">
      <c r="A107" s="6">
        <v>103</v>
      </c>
      <c r="B107" s="16" t="str">
        <f>HYPERLINK("https://www.ispn-psych.org/assets/2022_Conference/ISPN_2022_Final%20Program_L.pdf","2022 - 24th Annual Conference of International Society of Psychiatric-Mental Health Nurses")</f>
        <v>2022 - 24th Annual Conference of International Society of Psychiatric-Mental Health Nurses</v>
      </c>
      <c r="C107" s="24" t="s">
        <v>14</v>
      </c>
      <c r="D107" s="17" t="s">
        <v>14</v>
      </c>
      <c r="E107" s="17" t="s">
        <v>3870</v>
      </c>
      <c r="F107" s="16" t="s">
        <v>3873</v>
      </c>
      <c r="G107" s="18">
        <v>4</v>
      </c>
      <c r="H107" s="23" t="s">
        <v>4925</v>
      </c>
      <c r="I107" s="17"/>
    </row>
    <row r="108" spans="1:9" ht="15.9" hidden="1" customHeight="1">
      <c r="A108" s="6">
        <v>104</v>
      </c>
      <c r="B108" s="16" t="str">
        <f>HYPERLINK("https://www.ispn-psych.org/assets/2021_Conference/ISPN_2021_Final_Program_I.pdf","2021 - 23rd Annual Conference of International Society of Psychiatric-Mental Health Nurses")</f>
        <v>2021 - 23rd Annual Conference of International Society of Psychiatric-Mental Health Nurses</v>
      </c>
      <c r="C108" s="24" t="s">
        <v>14</v>
      </c>
      <c r="D108" s="17" t="s">
        <v>14</v>
      </c>
      <c r="E108" s="17" t="s">
        <v>3870</v>
      </c>
      <c r="F108" s="16" t="s">
        <v>3874</v>
      </c>
      <c r="G108" s="18">
        <v>4</v>
      </c>
      <c r="H108" s="23" t="s">
        <v>4925</v>
      </c>
      <c r="I108" s="17"/>
    </row>
    <row r="109" spans="1:9" ht="15.9" hidden="1" customHeight="1">
      <c r="A109" s="6">
        <v>105</v>
      </c>
      <c r="B109" s="16" t="str">
        <f>HYPERLINK("https://www.ispn-psych.org/assets/docs/2020annualmeeting/ISPN_2020_Virtual_Program_B.pdf","2020 - 22nd Annual Conference of International Society of Psychiatric-Mental Health Nurses")</f>
        <v>2020 - 22nd Annual Conference of International Society of Psychiatric-Mental Health Nurses</v>
      </c>
      <c r="C109" s="24" t="s">
        <v>14</v>
      </c>
      <c r="D109" s="17" t="s">
        <v>14</v>
      </c>
      <c r="E109" s="17" t="s">
        <v>3870</v>
      </c>
      <c r="F109" s="16" t="s">
        <v>3875</v>
      </c>
      <c r="G109" s="18">
        <v>4</v>
      </c>
      <c r="H109" s="23" t="s">
        <v>4925</v>
      </c>
      <c r="I109" s="17"/>
    </row>
    <row r="110" spans="1:9" ht="15.9" hidden="1" customHeight="1">
      <c r="A110" s="6">
        <v>106</v>
      </c>
      <c r="B110" s="16" t="str">
        <f>HYPERLINK("https://cslide.ctimeetingtech.com/adpd24/attendee","2024 - 18th International Conference on Alzheimer's and Parkinson's Diseases and related Neurological Disorders")</f>
        <v>2024 - 18th International Conference on Alzheimer's and Parkinson's Diseases and related Neurological Disorders</v>
      </c>
      <c r="C110" s="24" t="s">
        <v>14</v>
      </c>
      <c r="D110" s="17" t="s">
        <v>14</v>
      </c>
      <c r="E110" s="17" t="s">
        <v>4741</v>
      </c>
      <c r="F110" s="16" t="s">
        <v>4742</v>
      </c>
      <c r="G110" s="18">
        <v>6</v>
      </c>
      <c r="H110" s="23" t="s">
        <v>4335</v>
      </c>
      <c r="I110" s="17"/>
    </row>
    <row r="111" spans="1:9" ht="15.9" hidden="1" customHeight="1">
      <c r="A111" s="6">
        <v>107</v>
      </c>
      <c r="B111" s="16" t="str">
        <f>HYPERLINK("https://cslide.ctimeetingtech.com/adpd23/attendee","2023 - 17th International Conference on Alzheimer's and Parkinson's Diseases and related Neurological Disorders")</f>
        <v>2023 - 17th International Conference on Alzheimer's and Parkinson's Diseases and related Neurological Disorders</v>
      </c>
      <c r="C111" s="24" t="s">
        <v>14</v>
      </c>
      <c r="D111" s="17" t="s">
        <v>14</v>
      </c>
      <c r="E111" s="17" t="s">
        <v>4741</v>
      </c>
      <c r="F111" s="16" t="s">
        <v>4743</v>
      </c>
      <c r="G111" s="18">
        <v>6</v>
      </c>
      <c r="H111" s="23" t="s">
        <v>4335</v>
      </c>
      <c r="I111" s="17"/>
    </row>
    <row r="112" spans="1:9" ht="15.9" hidden="1" customHeight="1">
      <c r="A112" s="6">
        <v>108</v>
      </c>
      <c r="B112" s="16" t="str">
        <f>HYPERLINK("https://cslide.ctimeetingtech.com/adpd22/attendee/confcal/session/calendar/2022-03-15","2022 - 16th International Conference on Alzheimer's and Parkinson's Diseases and related Neurological Disorders")</f>
        <v>2022 - 16th International Conference on Alzheimer's and Parkinson's Diseases and related Neurological Disorders</v>
      </c>
      <c r="C112" s="24" t="s">
        <v>14</v>
      </c>
      <c r="D112" s="17" t="s">
        <v>14</v>
      </c>
      <c r="E112" s="17" t="s">
        <v>4741</v>
      </c>
      <c r="F112" s="16" t="s">
        <v>4744</v>
      </c>
      <c r="G112" s="18">
        <v>6</v>
      </c>
      <c r="H112" s="23" t="s">
        <v>4335</v>
      </c>
      <c r="I112" s="17"/>
    </row>
    <row r="113" spans="1:9" ht="15.9" hidden="1" customHeight="1">
      <c r="A113" s="6">
        <v>109</v>
      </c>
      <c r="B113" s="16" t="str">
        <f>HYPERLINK("https://cslide.ctimeetingtech.com/adpd21/attendee/confcal","2021 - 15th International Conference on Alzheimer's and Parkinson's Diseases and related Neurological Disorders")</f>
        <v>2021 - 15th International Conference on Alzheimer's and Parkinson's Diseases and related Neurological Disorders</v>
      </c>
      <c r="C113" s="24" t="s">
        <v>14</v>
      </c>
      <c r="D113" s="17" t="s">
        <v>14</v>
      </c>
      <c r="E113" s="17" t="s">
        <v>4741</v>
      </c>
      <c r="F113" s="16" t="s">
        <v>4745</v>
      </c>
      <c r="G113" s="18">
        <v>6</v>
      </c>
      <c r="H113" s="23" t="s">
        <v>4335</v>
      </c>
      <c r="I113" s="17"/>
    </row>
    <row r="114" spans="1:9" ht="15.9" hidden="1" customHeight="1">
      <c r="A114" s="6">
        <v>110</v>
      </c>
      <c r="B114" s="16" t="str">
        <f>HYPERLINK("https://alzheimers.magnusconferences.com/speakers/2023","2023 - 2nd International Alzheimer’s Disease &amp; Dementia Conference (Dementia 2023)")</f>
        <v>2023 - 2nd International Alzheimer’s Disease &amp; Dementia Conference (Dementia 2023)</v>
      </c>
      <c r="C114" s="24" t="s">
        <v>14</v>
      </c>
      <c r="D114" s="17" t="s">
        <v>14</v>
      </c>
      <c r="E114" s="17" t="s">
        <v>4746</v>
      </c>
      <c r="F114" s="16" t="s">
        <v>4747</v>
      </c>
      <c r="G114" s="18">
        <v>7</v>
      </c>
      <c r="H114" s="23" t="s">
        <v>4335</v>
      </c>
      <c r="I114" s="17"/>
    </row>
    <row r="115" spans="1:9" ht="15.9" hidden="1" customHeight="1">
      <c r="A115" s="6">
        <v>111</v>
      </c>
      <c r="B115" s="16" t="str">
        <f>HYPERLINK("https://alzheimers.magnusconferences.com/speakers/2022","2022 - 1st International Alzheimer’s Disease &amp; Dementia Conference (Dementia 2022)")</f>
        <v>2022 - 1st International Alzheimer’s Disease &amp; Dementia Conference (Dementia 2022)</v>
      </c>
      <c r="C115" s="24" t="s">
        <v>14</v>
      </c>
      <c r="D115" s="17" t="s">
        <v>14</v>
      </c>
      <c r="E115" s="17" t="s">
        <v>4746</v>
      </c>
      <c r="F115" s="16" t="s">
        <v>4748</v>
      </c>
      <c r="G115" s="18">
        <v>7</v>
      </c>
      <c r="H115" s="23" t="s">
        <v>4335</v>
      </c>
      <c r="I115" s="17"/>
    </row>
    <row r="116" spans="1:9" ht="15.9" hidden="1" customHeight="1">
      <c r="A116" s="6">
        <v>112</v>
      </c>
      <c r="B116" s="42" t="str">
        <f>HYPERLINK("https://www.maudsley-prescribing-guidelines.co.uk/conference2025/","2025 - The 5th Maudsley Prescribing Guidelines International Conference")</f>
        <v>2025 - The 5th Maudsley Prescribing Guidelines International Conference</v>
      </c>
      <c r="C116" s="24" t="s">
        <v>14</v>
      </c>
      <c r="D116" s="17" t="s">
        <v>14</v>
      </c>
      <c r="E116" s="17" t="s">
        <v>5225</v>
      </c>
      <c r="F116" s="42" t="s">
        <v>5224</v>
      </c>
      <c r="G116" s="18">
        <v>3</v>
      </c>
      <c r="H116" s="23" t="s">
        <v>4325</v>
      </c>
      <c r="I116" s="17"/>
    </row>
    <row r="117" spans="1:9" ht="15.9" hidden="1" customHeight="1">
      <c r="A117" s="6">
        <v>113</v>
      </c>
      <c r="B117" s="42" t="str">
        <f>HYPERLINK("https://www.kcl.ac.uk/events/maudsley-prescribing-guidelines-international-conference-clinical-psychopharmacology-in-the-time-of-covid","2021 - The 4th Maudsley Prescribing Guidelines International Conference")</f>
        <v>2021 - The 4th Maudsley Prescribing Guidelines International Conference</v>
      </c>
      <c r="C117" s="24" t="s">
        <v>14</v>
      </c>
      <c r="D117" s="17" t="s">
        <v>14</v>
      </c>
      <c r="E117" s="17" t="s">
        <v>5225</v>
      </c>
      <c r="F117" s="42" t="s">
        <v>5223</v>
      </c>
      <c r="G117" s="18">
        <v>3</v>
      </c>
      <c r="H117" s="23" t="s">
        <v>4325</v>
      </c>
      <c r="I117" s="17"/>
    </row>
    <row r="118" spans="1:9" ht="15.9" hidden="1" customHeight="1">
      <c r="A118" s="6">
        <v>114</v>
      </c>
      <c r="B118" s="16" t="str">
        <f>HYPERLINK("https://dementiaconference.mindauthors.com/feb-2024/","2024 - 1st World Virtual Congress on Dementia and Alzheimer’s Diseases (DAC 2024)")</f>
        <v>2024 - 1st World Virtual Congress on Dementia and Alzheimer’s Diseases (DAC 2024)</v>
      </c>
      <c r="C118" s="24" t="s">
        <v>14</v>
      </c>
      <c r="D118" s="17" t="s">
        <v>14</v>
      </c>
      <c r="E118" s="17" t="s">
        <v>4749</v>
      </c>
      <c r="F118" s="16" t="s">
        <v>4750</v>
      </c>
      <c r="G118" s="18">
        <v>7</v>
      </c>
      <c r="H118" s="23" t="s">
        <v>4335</v>
      </c>
      <c r="I118" s="17"/>
    </row>
    <row r="119" spans="1:9" ht="15.9" hidden="1" customHeight="1">
      <c r="A119" s="6">
        <v>115</v>
      </c>
      <c r="B119" s="16" t="str">
        <f>HYPERLINK("https://www.dementiaworldconference.com/scientific-program.php","2024 - Dementia World Conference")</f>
        <v>2024 - Dementia World Conference</v>
      </c>
      <c r="C119" s="24" t="s">
        <v>14</v>
      </c>
      <c r="D119" s="17" t="s">
        <v>14</v>
      </c>
      <c r="E119" s="17" t="s">
        <v>4751</v>
      </c>
      <c r="F119" s="16" t="s">
        <v>4752</v>
      </c>
      <c r="G119" s="18">
        <v>7</v>
      </c>
      <c r="H119" s="23" t="s">
        <v>4335</v>
      </c>
      <c r="I119" s="17"/>
    </row>
    <row r="120" spans="1:9" ht="15.9" hidden="1" customHeight="1">
      <c r="A120" s="6">
        <v>116</v>
      </c>
      <c r="B120" s="16" t="str">
        <f>HYPERLINK("https://www.rcpsych.ac.uk/events/congress/programme","2024 - International Congress of Royal College of Psychiatrists")</f>
        <v>2024 - International Congress of Royal College of Psychiatrists</v>
      </c>
      <c r="C120" s="24" t="s">
        <v>14</v>
      </c>
      <c r="D120" s="24" t="s">
        <v>14</v>
      </c>
      <c r="E120" s="17" t="s">
        <v>4143</v>
      </c>
      <c r="F120" s="16" t="s">
        <v>4144</v>
      </c>
      <c r="G120" s="18">
        <v>4</v>
      </c>
      <c r="H120" s="23" t="s">
        <v>4925</v>
      </c>
      <c r="I120" s="17"/>
    </row>
    <row r="121" spans="1:9" ht="15.9" hidden="1" customHeight="1">
      <c r="A121" s="6">
        <v>117</v>
      </c>
      <c r="B121" s="16" t="str">
        <f>HYPERLINK("https://www.rcpsych.ac.uk/members/england/ny-mentorship/detail/2023/07/10/default-calendar/international-congress-2021","2023 - International Congress of Royal College of Psychiatrists")</f>
        <v>2023 - International Congress of Royal College of Psychiatrists</v>
      </c>
      <c r="C121" s="24" t="s">
        <v>14</v>
      </c>
      <c r="D121" s="24" t="s">
        <v>14</v>
      </c>
      <c r="E121" s="17" t="s">
        <v>4143</v>
      </c>
      <c r="F121" s="16" t="s">
        <v>4145</v>
      </c>
      <c r="G121" s="18">
        <v>4</v>
      </c>
      <c r="H121" s="23" t="s">
        <v>4925</v>
      </c>
      <c r="I121" s="17"/>
    </row>
    <row r="122" spans="1:9" ht="15.9" hidden="1" customHeight="1">
      <c r="A122" s="6">
        <v>118</v>
      </c>
      <c r="B122" s="16" t="str">
        <f>HYPERLINK("https://www.rcpsych.ac.uk/docs/default-source/events/congress/2022/ic22-full-programme-v1.pdf?sfvrsn=983a1fd8_22","2022 - International Congress of Royal College of Psychiatrists")</f>
        <v>2022 - International Congress of Royal College of Psychiatrists</v>
      </c>
      <c r="C122" s="24" t="s">
        <v>14</v>
      </c>
      <c r="D122" s="24" t="s">
        <v>14</v>
      </c>
      <c r="E122" s="17" t="s">
        <v>4143</v>
      </c>
      <c r="F122" s="16" t="s">
        <v>4146</v>
      </c>
      <c r="G122" s="18">
        <v>4</v>
      </c>
      <c r="H122" s="23" t="s">
        <v>4925</v>
      </c>
      <c r="I122" s="17"/>
    </row>
    <row r="123" spans="1:9" ht="15.9" hidden="1" customHeight="1">
      <c r="A123" s="6">
        <v>119</v>
      </c>
      <c r="B123" s="16" t="str">
        <f>HYPERLINK("https://www.rcpsych.ac.uk/docs/default-source/events/congress/2021/ic21-programme-overview-v2.pdf?sfvrsn=4df2c9cc_44","2021 - International Congress of Royal College of Psychiatrists")</f>
        <v>2021 - International Congress of Royal College of Psychiatrists</v>
      </c>
      <c r="C123" s="24" t="s">
        <v>14</v>
      </c>
      <c r="D123" s="24" t="s">
        <v>14</v>
      </c>
      <c r="E123" s="17" t="s">
        <v>4143</v>
      </c>
      <c r="F123" s="16" t="s">
        <v>4147</v>
      </c>
      <c r="G123" s="18">
        <v>4</v>
      </c>
      <c r="H123" s="23" t="s">
        <v>4925</v>
      </c>
      <c r="I123" s="17"/>
    </row>
    <row r="124" spans="1:9" ht="15.9" hidden="1" customHeight="1">
      <c r="A124" s="6">
        <v>120</v>
      </c>
      <c r="B124" s="16" t="str">
        <f>HYPERLINK("https://www.rcpsych.ac.uk/docs/default-source/events/congress/programme-overview-v3.pdf?sfvrsn=b08b8f1d_0","2020 - International Congress of Royal College of Psychiatrists")</f>
        <v>2020 - International Congress of Royal College of Psychiatrists</v>
      </c>
      <c r="C124" s="24" t="s">
        <v>14</v>
      </c>
      <c r="D124" s="24" t="s">
        <v>14</v>
      </c>
      <c r="E124" s="17" t="s">
        <v>4143</v>
      </c>
      <c r="F124" s="16" t="s">
        <v>4148</v>
      </c>
      <c r="G124" s="18">
        <v>4</v>
      </c>
      <c r="H124" s="23" t="s">
        <v>4925</v>
      </c>
      <c r="I124" s="17"/>
    </row>
    <row r="125" spans="1:9" ht="15.9" hidden="1" customHeight="1">
      <c r="A125" s="6">
        <v>121</v>
      </c>
      <c r="B125" s="16" t="str">
        <f>HYPERLINK("https://pmg.joynadmin.org/documents/1007/66048e8413957e42da466f42.pdf","2024 - Annual Congress on Schizophrenia International Research Society")</f>
        <v>2024 - Annual Congress on Schizophrenia International Research Society</v>
      </c>
      <c r="C125" s="24" t="s">
        <v>14</v>
      </c>
      <c r="D125" s="17" t="s">
        <v>14</v>
      </c>
      <c r="E125" s="17" t="s">
        <v>3876</v>
      </c>
      <c r="F125" s="16" t="s">
        <v>3877</v>
      </c>
      <c r="G125" s="25">
        <v>1</v>
      </c>
      <c r="H125" s="23" t="s">
        <v>371</v>
      </c>
      <c r="I125" s="17"/>
    </row>
    <row r="126" spans="1:9" ht="15.9" hidden="1" customHeight="1">
      <c r="A126" s="6">
        <v>122</v>
      </c>
      <c r="B126" s="16" t="str">
        <f>HYPERLINK("https://schizophreniaresearchsociety.org/wp-content/uploads/2022/09/2023-Corporate-Support-Brochure.pdf","2023 - Annual Congress on Schizophrenia International Research Society")</f>
        <v>2023 - Annual Congress on Schizophrenia International Research Society</v>
      </c>
      <c r="C126" s="24" t="s">
        <v>14</v>
      </c>
      <c r="D126" s="17" t="s">
        <v>14</v>
      </c>
      <c r="E126" s="17" t="s">
        <v>3876</v>
      </c>
      <c r="F126" s="16" t="s">
        <v>3878</v>
      </c>
      <c r="G126" s="25">
        <v>1</v>
      </c>
      <c r="H126" s="23" t="s">
        <v>371</v>
      </c>
      <c r="I126" s="17"/>
    </row>
    <row r="127" spans="1:9" ht="15.9" hidden="1" customHeight="1">
      <c r="A127" s="6">
        <v>123</v>
      </c>
      <c r="B127" s="16" t="str">
        <f>HYPERLINK("https://schizophreniaresearchsociety.org/wp-content/uploads/2021/08/2022-SIRS-Prospectus-Final.pdf","2022 - Annual Congress on Schizophrenia International Research Society")</f>
        <v>2022 - Annual Congress on Schizophrenia International Research Society</v>
      </c>
      <c r="C127" s="24" t="s">
        <v>14</v>
      </c>
      <c r="D127" s="17" t="s">
        <v>14</v>
      </c>
      <c r="E127" s="17" t="s">
        <v>3876</v>
      </c>
      <c r="F127" s="16" t="s">
        <v>3879</v>
      </c>
      <c r="G127" s="25">
        <v>1</v>
      </c>
      <c r="H127" s="23" t="s">
        <v>371</v>
      </c>
      <c r="I127" s="17"/>
    </row>
    <row r="128" spans="1:9" ht="15.9" hidden="1" customHeight="1">
      <c r="A128" s="6">
        <v>124</v>
      </c>
      <c r="B128" s="16" t="str">
        <f>HYPERLINK("https://schizophreniaresearchsociety.org/wp-content/uploads/2020/10/2021-SIRS-Prospectus-FINAL.pdf","2021 - Annual Congress on Schizophrenia International Research Society")</f>
        <v>2021 - Annual Congress on Schizophrenia International Research Society</v>
      </c>
      <c r="C128" s="24" t="s">
        <v>14</v>
      </c>
      <c r="D128" s="17" t="s">
        <v>14</v>
      </c>
      <c r="E128" s="17" t="s">
        <v>3876</v>
      </c>
      <c r="F128" s="16" t="s">
        <v>3880</v>
      </c>
      <c r="G128" s="25">
        <v>1</v>
      </c>
      <c r="H128" s="23" t="s">
        <v>371</v>
      </c>
      <c r="I128" s="17"/>
    </row>
    <row r="129" spans="1:9" ht="15.9" hidden="1" customHeight="1">
      <c r="A129" s="6">
        <v>125</v>
      </c>
      <c r="B129" s="16" t="str">
        <f>HYPERLINK("https://schizophreniaresearchsociety.org/wp-content/uploads/2019/06/Attachment-1-SIRS-Supporting-Corporation-Brochure-2020.pdf","2020 - Annual Congress on Schizophrenia International Research Society")</f>
        <v>2020 - Annual Congress on Schizophrenia International Research Society</v>
      </c>
      <c r="C129" s="24" t="s">
        <v>14</v>
      </c>
      <c r="D129" s="17" t="s">
        <v>14</v>
      </c>
      <c r="E129" s="17" t="s">
        <v>3876</v>
      </c>
      <c r="F129" s="16" t="s">
        <v>3881</v>
      </c>
      <c r="G129" s="25">
        <v>1</v>
      </c>
      <c r="H129" s="23" t="s">
        <v>371</v>
      </c>
      <c r="I129" s="17"/>
    </row>
    <row r="130" spans="1:9" ht="15.9" hidden="1" customHeight="1">
      <c r="A130" s="6">
        <v>126</v>
      </c>
      <c r="B130" s="16" t="str">
        <f>HYPERLINK("https://www.iconsofscarf.org/conference-program.html","2024 - 11th Edition of International Conference on Schizophrenia")</f>
        <v>2024 - 11th Edition of International Conference on Schizophrenia</v>
      </c>
      <c r="C130" s="24" t="s">
        <v>14</v>
      </c>
      <c r="D130" s="17" t="s">
        <v>14</v>
      </c>
      <c r="E130" s="17" t="s">
        <v>3882</v>
      </c>
      <c r="F130" s="16" t="s">
        <v>3883</v>
      </c>
      <c r="G130" s="25">
        <v>1</v>
      </c>
      <c r="H130" s="23" t="s">
        <v>371</v>
      </c>
      <c r="I130" s="17"/>
    </row>
    <row r="131" spans="1:9" ht="15.9" hidden="1" customHeight="1">
      <c r="A131" s="6">
        <v>127</v>
      </c>
      <c r="B131" s="16" t="str">
        <f>HYPERLINK("https://www.iconsofscarf.org/pdf/icons-2022-tenth-edition.pdf","2022 - 10th Edition of International Conference on Schizophrenia")</f>
        <v>2022 - 10th Edition of International Conference on Schizophrenia</v>
      </c>
      <c r="C131" s="24" t="s">
        <v>14</v>
      </c>
      <c r="D131" s="17" t="s">
        <v>14</v>
      </c>
      <c r="E131" s="17" t="s">
        <v>3882</v>
      </c>
      <c r="F131" s="16" t="s">
        <v>3884</v>
      </c>
      <c r="G131" s="25">
        <v>1</v>
      </c>
      <c r="H131" s="23" t="s">
        <v>371</v>
      </c>
      <c r="I131" s="17"/>
    </row>
    <row r="132" spans="1:9" ht="15.9" hidden="1" customHeight="1">
      <c r="A132" s="6">
        <v>128</v>
      </c>
      <c r="B132" s="16" t="str">
        <f>HYPERLINK("https://www.iconsofscarf.org/2021iconsofscarf.html","2021 - 9th Edition of International Conference on Schizophrenia")</f>
        <v>2021 - 9th Edition of International Conference on Schizophrenia</v>
      </c>
      <c r="C132" s="24" t="s">
        <v>14</v>
      </c>
      <c r="D132" s="17" t="s">
        <v>14</v>
      </c>
      <c r="E132" s="17" t="s">
        <v>3882</v>
      </c>
      <c r="F132" s="16" t="s">
        <v>3885</v>
      </c>
      <c r="G132" s="25">
        <v>1</v>
      </c>
      <c r="H132" s="23" t="s">
        <v>371</v>
      </c>
      <c r="I132" s="17"/>
    </row>
    <row r="133" spans="1:9" ht="15.9" hidden="1" customHeight="1">
      <c r="A133" s="6">
        <v>129</v>
      </c>
      <c r="B133" s="16" t="str">
        <f>HYPERLINK("https://view.flipdocs.com/?ID=10026226_544111#","2024 - Annual Meeting of Society for Neuroscience (SFN)")</f>
        <v>2024 - Annual Meeting of Society for Neuroscience (SFN)</v>
      </c>
      <c r="C133" s="24" t="s">
        <v>14</v>
      </c>
      <c r="D133" s="24" t="s">
        <v>14</v>
      </c>
      <c r="E133" s="17" t="s">
        <v>3886</v>
      </c>
      <c r="F133" s="16" t="s">
        <v>3917</v>
      </c>
      <c r="G133" s="18">
        <v>8</v>
      </c>
      <c r="H133" s="23" t="s">
        <v>4925</v>
      </c>
      <c r="I133" s="17"/>
    </row>
    <row r="134" spans="1:9" ht="15.9" hidden="1" customHeight="1">
      <c r="A134" s="6">
        <v>130</v>
      </c>
      <c r="B134" s="16" t="str">
        <f>HYPERLINK("https://www.sfn.org/-/media/SfN/Documents/NEW-SfN/Meetings/Neuroscience-2023/General-Info-and-At-the-Meeting/Program-and-Exhibit-Guide-2023.pdf","2023 - Annual Meeting of Society for Neuroscience (SFN)")</f>
        <v>2023 - Annual Meeting of Society for Neuroscience (SFN)</v>
      </c>
      <c r="C134" s="24" t="s">
        <v>14</v>
      </c>
      <c r="D134" s="24" t="s">
        <v>14</v>
      </c>
      <c r="E134" s="17" t="s">
        <v>3886</v>
      </c>
      <c r="F134" s="16" t="s">
        <v>3918</v>
      </c>
      <c r="G134" s="18">
        <v>8</v>
      </c>
      <c r="H134" s="23" t="s">
        <v>4925</v>
      </c>
      <c r="I134" s="17"/>
    </row>
    <row r="135" spans="1:9" ht="15.9" hidden="1" customHeight="1">
      <c r="A135" s="6">
        <v>131</v>
      </c>
      <c r="B135" s="16" t="str">
        <f>HYPERLINK("https://www.sfn.org/-/media/SfN/Documents/NEW-SfN/Meetings/Neuroscience-2022/Sessions-and-Events/2022_Program-and-Exhibit-Guide.pdf","2022 - Annual Meeting of Society for Neuroscience (SFN)")</f>
        <v>2022 - Annual Meeting of Society for Neuroscience (SFN)</v>
      </c>
      <c r="C135" s="24" t="s">
        <v>14</v>
      </c>
      <c r="D135" s="24" t="s">
        <v>14</v>
      </c>
      <c r="E135" s="17" t="s">
        <v>3886</v>
      </c>
      <c r="F135" s="16" t="s">
        <v>3919</v>
      </c>
      <c r="G135" s="18">
        <v>8</v>
      </c>
      <c r="H135" s="23" t="s">
        <v>4925</v>
      </c>
      <c r="I135" s="17"/>
    </row>
    <row r="136" spans="1:9" ht="15.9" hidden="1" customHeight="1">
      <c r="A136" s="6">
        <v>132</v>
      </c>
      <c r="B136" s="16" t="str">
        <f>HYPERLINK("https://www.sfn.org/meetings/neuroscience-2021","2021- Annual Meeting of Society for Neuroscience (SFN)")</f>
        <v>2021- Annual Meeting of Society for Neuroscience (SFN)</v>
      </c>
      <c r="C136" s="24" t="s">
        <v>14</v>
      </c>
      <c r="D136" s="24" t="s">
        <v>14</v>
      </c>
      <c r="E136" s="17" t="s">
        <v>3886</v>
      </c>
      <c r="F136" s="16" t="s">
        <v>3920</v>
      </c>
      <c r="G136" s="18">
        <v>8</v>
      </c>
      <c r="H136" s="23" t="s">
        <v>4925</v>
      </c>
      <c r="I136" s="17"/>
    </row>
    <row r="137" spans="1:9" ht="15.9" hidden="1" customHeight="1">
      <c r="A137" s="6">
        <v>133</v>
      </c>
      <c r="B137" s="16" t="str">
        <f>HYPERLINK("https://view.flipdocs.com/?ID=10026226_240780","2021 - Annual Meeting of Society for Neuroscience (SFN)")</f>
        <v>2021 - Annual Meeting of Society for Neuroscience (SFN)</v>
      </c>
      <c r="C137" s="24" t="s">
        <v>14</v>
      </c>
      <c r="D137" s="24" t="s">
        <v>14</v>
      </c>
      <c r="E137" s="17" t="s">
        <v>3886</v>
      </c>
      <c r="F137" s="16" t="s">
        <v>5006</v>
      </c>
      <c r="G137" s="18">
        <v>8</v>
      </c>
      <c r="H137" s="23" t="s">
        <v>4925</v>
      </c>
      <c r="I137" s="17"/>
    </row>
    <row r="138" spans="1:9" ht="15.9" hidden="1" customHeight="1">
      <c r="A138" s="6">
        <v>134</v>
      </c>
      <c r="B138" s="16" t="str">
        <f>HYPERLINK("https://cdn.ymaws.com/www.psychotherapyresearch.org/resource/resmgr/imported/events/annualmeeting_progs/spr_meeting_program_2024.pdf","2024 - 55th International Annual Meeting of the Society for Psychotherapy Research")</f>
        <v>2024 - 55th International Annual Meeting of the Society for Psychotherapy Research</v>
      </c>
      <c r="C138" s="24" t="s">
        <v>14</v>
      </c>
      <c r="D138" s="24" t="s">
        <v>14</v>
      </c>
      <c r="E138" s="17" t="s">
        <v>4288</v>
      </c>
      <c r="F138" s="16" t="s">
        <v>4289</v>
      </c>
      <c r="G138" s="18">
        <v>5</v>
      </c>
      <c r="H138" s="23" t="s">
        <v>4925</v>
      </c>
      <c r="I138" s="17"/>
    </row>
    <row r="139" spans="1:9" ht="15.9" hidden="1" customHeight="1">
      <c r="A139" s="6">
        <v>135</v>
      </c>
      <c r="B139" s="16" t="str">
        <f>HYPERLINK("https://cdn.ymaws.com/www.psychotherapyresearch.org/resource/resmgr/imported/events/annualmeeting_progs/spr_meeting_program_2023.pdf","2023 - 54th International Annual Meeting of the Society for Psychotherapy Research")</f>
        <v>2023 - 54th International Annual Meeting of the Society for Psychotherapy Research</v>
      </c>
      <c r="C139" s="24" t="s">
        <v>14</v>
      </c>
      <c r="D139" s="24" t="s">
        <v>14</v>
      </c>
      <c r="E139" s="17" t="s">
        <v>4288</v>
      </c>
      <c r="F139" s="16" t="s">
        <v>4292</v>
      </c>
      <c r="G139" s="18">
        <v>5</v>
      </c>
      <c r="H139" s="23" t="s">
        <v>4925</v>
      </c>
      <c r="I139" s="17"/>
    </row>
    <row r="140" spans="1:9" ht="15.9" hidden="1" customHeight="1">
      <c r="A140" s="6">
        <v>136</v>
      </c>
      <c r="B140" s="16" t="str">
        <f>HYPERLINK("https://cdn.ymaws.com/www.psychotherapyresearch.org/resource/resmgr/imported/events/annualmeeting_progs/spr_meeting_program_2022.pdf","2022 - 53rd International Annual Meeting of the Society for Psychotherapy Research")</f>
        <v>2022 - 53rd International Annual Meeting of the Society for Psychotherapy Research</v>
      </c>
      <c r="C140" s="24" t="s">
        <v>14</v>
      </c>
      <c r="D140" s="24" t="s">
        <v>14</v>
      </c>
      <c r="E140" s="17" t="s">
        <v>4288</v>
      </c>
      <c r="F140" s="16" t="s">
        <v>4294</v>
      </c>
      <c r="G140" s="18">
        <v>5</v>
      </c>
      <c r="H140" s="23" t="s">
        <v>4925</v>
      </c>
      <c r="I140" s="17"/>
    </row>
    <row r="141" spans="1:9" ht="15.9" hidden="1" customHeight="1">
      <c r="A141" s="6">
        <v>137</v>
      </c>
      <c r="B141" s="16" t="str">
        <f>HYPERLINK("https://cdn.ymaws.com/www.psychotherapyresearch.org/resource/resmgr/imported/events/annualmeeting_progs/spr_meeting_program_2021.pdf","2021 - 52nd International Annual Meeting of the Society for Psychotherapy Research")</f>
        <v>2021 - 52nd International Annual Meeting of the Society for Psychotherapy Research</v>
      </c>
      <c r="C141" s="24" t="s">
        <v>14</v>
      </c>
      <c r="D141" s="24" t="s">
        <v>14</v>
      </c>
      <c r="E141" s="17" t="s">
        <v>4288</v>
      </c>
      <c r="F141" s="16" t="s">
        <v>4297</v>
      </c>
      <c r="G141" s="18">
        <v>5</v>
      </c>
      <c r="H141" s="23" t="s">
        <v>4925</v>
      </c>
      <c r="I141" s="17"/>
    </row>
    <row r="142" spans="1:9" ht="15.9" hidden="1" customHeight="1">
      <c r="A142" s="6">
        <v>138</v>
      </c>
      <c r="B142" s="16" t="str">
        <f>HYPERLINK("https://congresoanpir.org/wp-content/uploads/AF_programacion_congresocadiz_sepc_converted-1.pdf","2024 - XXIII National and IV International Congress of the Spanish Society of Clinical Psychology - ANPIR")</f>
        <v>2024 - XXIII National and IV International Congress of the Spanish Society of Clinical Psychology - ANPIR</v>
      </c>
      <c r="C142" s="24" t="s">
        <v>14</v>
      </c>
      <c r="D142" s="24" t="s">
        <v>14</v>
      </c>
      <c r="E142" s="17" t="s">
        <v>4112</v>
      </c>
      <c r="F142" s="16" t="s">
        <v>4113</v>
      </c>
      <c r="G142" s="18">
        <v>5</v>
      </c>
      <c r="H142" s="23" t="s">
        <v>4925</v>
      </c>
      <c r="I142" s="17"/>
    </row>
    <row r="143" spans="1:9" ht="15.9" hidden="1" customHeight="1">
      <c r="A143" s="6">
        <v>139</v>
      </c>
      <c r="B143" s="16" t="str">
        <f>HYPERLINK("https://www.anpir.org/wp-content/uploads/Triptico-ANPIR-2023-v.12.pdf","2023 - XXII National and III International Congress of the Spanish Society of Clinical Psychology - ANPIR")</f>
        <v>2023 - XXII National and III International Congress of the Spanish Society of Clinical Psychology - ANPIR</v>
      </c>
      <c r="C143" s="24" t="s">
        <v>14</v>
      </c>
      <c r="D143" s="24" t="s">
        <v>14</v>
      </c>
      <c r="E143" s="17" t="s">
        <v>4112</v>
      </c>
      <c r="F143" s="16" t="s">
        <v>4114</v>
      </c>
      <c r="G143" s="18">
        <v>5</v>
      </c>
      <c r="H143" s="23" t="s">
        <v>4925</v>
      </c>
      <c r="I143" s="17"/>
    </row>
    <row r="144" spans="1:9" ht="15.9" hidden="1" customHeight="1">
      <c r="A144" s="6">
        <v>140</v>
      </c>
      <c r="B144" s="16" t="str">
        <f>HYPERLINK("https://www.anpir.org/wp-content/uploads/PROGRAMA-PARA-LAS-XXI-JORNADAS-NACIONALES-Y-II-INTERNACIONALES-DE-ANPIR-30.7-%C3%97-21-cm-6.pdf","2022 - XXI National Conferences and II International ANPIR 2022")</f>
        <v>2022 - XXI National Conferences and II International ANPIR 2022</v>
      </c>
      <c r="C144" s="24" t="s">
        <v>14</v>
      </c>
      <c r="D144" s="24" t="s">
        <v>14</v>
      </c>
      <c r="E144" s="17" t="s">
        <v>4112</v>
      </c>
      <c r="F144" s="16" t="s">
        <v>4115</v>
      </c>
      <c r="G144" s="18">
        <v>5</v>
      </c>
      <c r="H144" s="23" t="s">
        <v>4925</v>
      </c>
      <c r="I144" s="17"/>
    </row>
    <row r="145" spans="1:9" ht="15.9" hidden="1" customHeight="1">
      <c r="A145" s="6">
        <v>141</v>
      </c>
      <c r="B145" s="16" t="str">
        <f>HYPERLINK("https://www.pce2024.com/","2024 - 16th World Conference for Person-Centered and Experiential Psychotherapy and Counseling")</f>
        <v>2024 - 16th World Conference for Person-Centered and Experiential Psychotherapy and Counseling</v>
      </c>
      <c r="C145" s="24" t="s">
        <v>14</v>
      </c>
      <c r="D145" s="17" t="s">
        <v>14</v>
      </c>
      <c r="E145" s="17" t="s">
        <v>3887</v>
      </c>
      <c r="F145" s="16" t="s">
        <v>3888</v>
      </c>
      <c r="G145" s="18">
        <v>5</v>
      </c>
      <c r="H145" s="23" t="s">
        <v>4925</v>
      </c>
      <c r="I145" s="17"/>
    </row>
    <row r="146" spans="1:9" ht="15.9" hidden="1" customHeight="1">
      <c r="A146" s="6">
        <v>142</v>
      </c>
      <c r="B146" s="16" t="str">
        <f>HYPERLINK("https://www.pce2022.com/wp-content/uploads/PCE2022-Conference-Book-220629C-opti.pdf","2022 - 15th World Conference for Person-Centered and Experiential Psychotherapy and Counseling")</f>
        <v>2022 - 15th World Conference for Person-Centered and Experiential Psychotherapy and Counseling</v>
      </c>
      <c r="C146" s="24" t="s">
        <v>14</v>
      </c>
      <c r="D146" s="17" t="s">
        <v>14</v>
      </c>
      <c r="E146" s="17" t="s">
        <v>3887</v>
      </c>
      <c r="F146" s="16" t="s">
        <v>3889</v>
      </c>
      <c r="G146" s="18">
        <v>5</v>
      </c>
      <c r="H146" s="23" t="s">
        <v>4925</v>
      </c>
      <c r="I146" s="17"/>
    </row>
    <row r="147" spans="1:9" ht="15.9" hidden="1" customHeight="1">
      <c r="A147" s="6">
        <v>143</v>
      </c>
      <c r="B147" s="16" t="str">
        <f>HYPERLINK("https://www.pce-world.org/events/pce-conferences/14th-pce-conference.html","2021 - 14th World Conference for Person-Centered and Experiential Psychotherapy and Counseling")</f>
        <v>2021 - 14th World Conference for Person-Centered and Experiential Psychotherapy and Counseling</v>
      </c>
      <c r="C147" s="24" t="s">
        <v>14</v>
      </c>
      <c r="D147" s="17" t="s">
        <v>14</v>
      </c>
      <c r="E147" s="17" t="s">
        <v>3887</v>
      </c>
      <c r="F147" s="16" t="s">
        <v>3890</v>
      </c>
      <c r="G147" s="18">
        <v>5</v>
      </c>
      <c r="H147" s="23" t="s">
        <v>4925</v>
      </c>
      <c r="I147" s="17"/>
    </row>
    <row r="148" spans="1:9" ht="15.9" hidden="1" customHeight="1">
      <c r="A148" s="6">
        <v>144</v>
      </c>
      <c r="B148" s="16" t="str">
        <f>HYPERLINK("https://www.casw-acts.ca/en/xv-world-congress-world-association-psychosocial-rehabilitation-wapr-canadian-psr-conference","2024 - XV World Congress of World Association for Psychosocial Rehabilitation (WAPR) and Canadian PSR Conference")</f>
        <v>2024 - XV World Congress of World Association for Psychosocial Rehabilitation (WAPR) and Canadian PSR Conference</v>
      </c>
      <c r="C148" s="24" t="s">
        <v>14</v>
      </c>
      <c r="D148" s="17" t="s">
        <v>14</v>
      </c>
      <c r="E148" s="17" t="s">
        <v>3891</v>
      </c>
      <c r="F148" s="16" t="s">
        <v>3892</v>
      </c>
      <c r="G148" s="18">
        <v>5</v>
      </c>
      <c r="H148" s="23" t="s">
        <v>4925</v>
      </c>
      <c r="I148" s="17"/>
    </row>
    <row r="149" spans="1:9" ht="15.9" hidden="1" customHeight="1">
      <c r="A149" s="6">
        <v>145</v>
      </c>
      <c r="B149" s="16" t="str">
        <f>HYPERLINK("https://archive.menaconference.com/mena_conference_gallery/WAPR_CONFERENCE_2021_Brochure_pdf_23Oct2021123457.pdf","2021 - XIV World Congress of World Association For Psychosocial Rehabilitation (WAPR) and 7th Abu Dhabi International Mental Health Conference")</f>
        <v>2021 - XIV World Congress of World Association For Psychosocial Rehabilitation (WAPR) and 7th Abu Dhabi International Mental Health Conference</v>
      </c>
      <c r="C149" s="24" t="s">
        <v>14</v>
      </c>
      <c r="D149" s="17" t="s">
        <v>14</v>
      </c>
      <c r="E149" s="17" t="s">
        <v>3891</v>
      </c>
      <c r="F149" s="16" t="s">
        <v>3893</v>
      </c>
      <c r="G149" s="18">
        <v>4</v>
      </c>
      <c r="H149" s="23" t="s">
        <v>4925</v>
      </c>
      <c r="I149" s="17"/>
    </row>
    <row r="150" spans="1:9" ht="15.9" hidden="1" customHeight="1">
      <c r="A150" s="6">
        <v>146</v>
      </c>
      <c r="B150" s="16" t="str">
        <f>HYPERLINK("https://en.planetofpsychotherapy.com/program/scientific-program.html","2022 - 9th World Congress for Psychotherapy")</f>
        <v>2022 - 9th World Congress for Psychotherapy</v>
      </c>
      <c r="C150" s="24" t="s">
        <v>14</v>
      </c>
      <c r="D150" s="17" t="s">
        <v>14</v>
      </c>
      <c r="E150" s="17" t="s">
        <v>3894</v>
      </c>
      <c r="F150" s="16" t="s">
        <v>3895</v>
      </c>
      <c r="G150" s="18">
        <v>5</v>
      </c>
      <c r="H150" s="23" t="s">
        <v>4925</v>
      </c>
      <c r="I150" s="17"/>
    </row>
    <row r="151" spans="1:9" ht="15.9" hidden="1" customHeight="1">
      <c r="A151" s="6">
        <v>147</v>
      </c>
      <c r="B151" s="16" t="str">
        <f>HYPERLINK("https://www.worlddementiacouncil.org/programme/2024-WDC-Summit-programme.pdf","2024 - World Dementia Council Summit")</f>
        <v>2024 - World Dementia Council Summit</v>
      </c>
      <c r="C151" s="24" t="s">
        <v>14</v>
      </c>
      <c r="D151" s="17" t="s">
        <v>14</v>
      </c>
      <c r="E151" s="17" t="s">
        <v>4753</v>
      </c>
      <c r="F151" s="16" t="s">
        <v>4754</v>
      </c>
      <c r="G151" s="18">
        <v>7</v>
      </c>
      <c r="H151" s="23" t="s">
        <v>4335</v>
      </c>
      <c r="I151" s="17"/>
    </row>
    <row r="152" spans="1:9" ht="15.9" hidden="1" customHeight="1">
      <c r="A152" s="6">
        <v>148</v>
      </c>
      <c r="B152" s="16" t="str">
        <f>HYPERLINK("https://www.worlddementiacouncil.org/sites/default/files/2023-03/Summit%202023%20programme%20v2.pdf","2023 - World Dementia Council Summit")</f>
        <v>2023 - World Dementia Council Summit</v>
      </c>
      <c r="C152" s="24" t="s">
        <v>14</v>
      </c>
      <c r="D152" s="17" t="s">
        <v>14</v>
      </c>
      <c r="E152" s="17" t="s">
        <v>4753</v>
      </c>
      <c r="F152" s="16" t="s">
        <v>4755</v>
      </c>
      <c r="G152" s="18">
        <v>7</v>
      </c>
      <c r="H152" s="23" t="s">
        <v>4335</v>
      </c>
      <c r="I152" s="17"/>
    </row>
    <row r="153" spans="1:9" ht="15.9" hidden="1" customHeight="1">
      <c r="A153" s="6">
        <v>149</v>
      </c>
      <c r="B153" s="16" t="str">
        <f>HYPERLINK("https://www.worlddementiacouncil.org/sites/default/files/2022-03/Programme%20-%20WDC%20Summit%202022_4.pdf","2022 - World Dementia Council Summit")</f>
        <v>2022 - World Dementia Council Summit</v>
      </c>
      <c r="C153" s="24" t="s">
        <v>14</v>
      </c>
      <c r="D153" s="17" t="s">
        <v>14</v>
      </c>
      <c r="E153" s="17" t="s">
        <v>4753</v>
      </c>
      <c r="F153" s="16" t="s">
        <v>4756</v>
      </c>
      <c r="G153" s="18">
        <v>7</v>
      </c>
      <c r="H153" s="23" t="s">
        <v>4335</v>
      </c>
      <c r="I153" s="17"/>
    </row>
    <row r="154" spans="1:9" ht="15.9" hidden="1" customHeight="1">
      <c r="A154" s="6">
        <v>150</v>
      </c>
      <c r="B154" s="16" t="str">
        <f>HYPERLINK("https://www.worlddementiacouncil.org/sites/default/files/2021-12/Programme%20%5Brevised%5D%20-%20WDC%20Summit%202021_0.pdf","2021 - World Dementia Council Virtual Summit")</f>
        <v>2021 - World Dementia Council Virtual Summit</v>
      </c>
      <c r="C154" s="24" t="s">
        <v>14</v>
      </c>
      <c r="D154" s="17" t="s">
        <v>14</v>
      </c>
      <c r="E154" s="17" t="s">
        <v>4753</v>
      </c>
      <c r="F154" s="16" t="s">
        <v>4757</v>
      </c>
      <c r="G154" s="18">
        <v>7</v>
      </c>
      <c r="H154" s="23" t="s">
        <v>4335</v>
      </c>
      <c r="I154" s="17"/>
    </row>
    <row r="155" spans="1:9" ht="15.9" hidden="1" customHeight="1">
      <c r="A155" s="6">
        <v>151</v>
      </c>
      <c r="B155" s="16" t="str">
        <f>HYPERLINK("https://pmg.joynadmin.org/documents/1064/665a753c9a5a51007270f212.pdf","2024 - 16th World Congress of Biological Psychiatry")</f>
        <v>2024 - 16th World Congress of Biological Psychiatry</v>
      </c>
      <c r="C155" s="24" t="s">
        <v>14</v>
      </c>
      <c r="D155" s="17" t="s">
        <v>14</v>
      </c>
      <c r="E155" s="17" t="s">
        <v>378</v>
      </c>
      <c r="F155" s="16" t="s">
        <v>3896</v>
      </c>
      <c r="G155" s="18">
        <v>4</v>
      </c>
      <c r="H155" s="23" t="s">
        <v>4925</v>
      </c>
      <c r="I155" s="17"/>
    </row>
    <row r="156" spans="1:9" ht="15.9" hidden="1" customHeight="1">
      <c r="A156" s="6">
        <v>152</v>
      </c>
      <c r="B156" s="16" t="str">
        <f>HYPERLINK("https://iabp.org.in/images/brochure/brochure.pdf","2021 - 15th World Congress of Biological Psychiatry")</f>
        <v>2021 - 15th World Congress of Biological Psychiatry</v>
      </c>
      <c r="C156" s="24" t="s">
        <v>14</v>
      </c>
      <c r="D156" s="17" t="s">
        <v>14</v>
      </c>
      <c r="E156" s="17" t="s">
        <v>378</v>
      </c>
      <c r="F156" s="16" t="s">
        <v>3897</v>
      </c>
      <c r="G156" s="18">
        <v>4</v>
      </c>
      <c r="H156" s="23" t="s">
        <v>4925</v>
      </c>
      <c r="I156" s="17"/>
    </row>
    <row r="157" spans="1:9" ht="15.9" hidden="1" customHeight="1">
      <c r="A157" s="6">
        <v>153</v>
      </c>
      <c r="B157" s="16" t="str">
        <f>HYPERLINK("https://cslide.ctimeetingtech.com/wcp24/attendee","2024 - 24th WPA World Congress of Psychiatry")</f>
        <v>2024 - 24th WPA World Congress of Psychiatry</v>
      </c>
      <c r="C157" s="24" t="s">
        <v>14</v>
      </c>
      <c r="D157" s="17" t="s">
        <v>14</v>
      </c>
      <c r="E157" s="17" t="s">
        <v>3898</v>
      </c>
      <c r="F157" s="16" t="s">
        <v>3899</v>
      </c>
      <c r="G157" s="18">
        <v>4</v>
      </c>
      <c r="H157" s="23" t="s">
        <v>4925</v>
      </c>
      <c r="I157" s="17"/>
    </row>
    <row r="158" spans="1:9" ht="15.9" hidden="1" customHeight="1">
      <c r="A158" s="6">
        <v>154</v>
      </c>
      <c r="B158" s="16" t="str">
        <f>HYPERLINK("https://wcp-congress.com/wp-content/uploads/sites/22/2023/09/WCP-23-program-at-a-glance-3.pdf","2023 - 23rd WPA World Congress of Psychiatry")</f>
        <v>2023 - 23rd WPA World Congress of Psychiatry</v>
      </c>
      <c r="C158" s="24" t="s">
        <v>14</v>
      </c>
      <c r="D158" s="17" t="s">
        <v>14</v>
      </c>
      <c r="E158" s="17" t="s">
        <v>3898</v>
      </c>
      <c r="F158" s="16" t="s">
        <v>3900</v>
      </c>
      <c r="G158" s="18">
        <v>4</v>
      </c>
      <c r="H158" s="23" t="s">
        <v>4925</v>
      </c>
      <c r="I158" s="17"/>
    </row>
    <row r="159" spans="1:9" ht="15.9" hidden="1" customHeight="1">
      <c r="A159" s="6">
        <v>155</v>
      </c>
      <c r="B159" s="16" t="str">
        <f>HYPERLINK("https://cslide.ctimeetingtech.com/wcp22/attendee/confcal/session/calendar?r=d%7E1_2_3_4","2022 - 22nd WPA World Congress of Psychiatry")</f>
        <v>2022 - 22nd WPA World Congress of Psychiatry</v>
      </c>
      <c r="C159" s="24" t="s">
        <v>14</v>
      </c>
      <c r="D159" s="17" t="s">
        <v>14</v>
      </c>
      <c r="E159" s="17" t="s">
        <v>3898</v>
      </c>
      <c r="F159" s="16" t="s">
        <v>3901</v>
      </c>
      <c r="G159" s="18">
        <v>4</v>
      </c>
      <c r="H159" s="23" t="s">
        <v>4925</v>
      </c>
      <c r="I159" s="17"/>
    </row>
    <row r="160" spans="1:9" ht="15.9" hidden="1" customHeight="1">
      <c r="A160" s="6">
        <v>156</v>
      </c>
      <c r="B160" s="16" t="str">
        <f>HYPERLINK("https://cslide.ctimeetingtech.com/wcp21/attendee/confcal/session/list","2021 - 21st WPA World Congress of Psychiatry")</f>
        <v>2021 - 21st WPA World Congress of Psychiatry</v>
      </c>
      <c r="C160" s="24" t="s">
        <v>14</v>
      </c>
      <c r="D160" s="17" t="s">
        <v>14</v>
      </c>
      <c r="E160" s="17" t="s">
        <v>3898</v>
      </c>
      <c r="F160" s="16" t="s">
        <v>5001</v>
      </c>
      <c r="G160" s="18">
        <v>4</v>
      </c>
      <c r="H160" s="23" t="s">
        <v>4925</v>
      </c>
      <c r="I160" s="17"/>
    </row>
    <row r="161" spans="1:9" ht="15.9" hidden="1" customHeight="1">
      <c r="A161" s="6">
        <v>157</v>
      </c>
      <c r="B161" s="16" t="str">
        <f>HYPERLINK("https://cslide.ctimeetingtech.com/wcp20/attendee/confcal/session/list","2021 - 20th WPA World Congress of Psychiatry")</f>
        <v>2021 - 20th WPA World Congress of Psychiatry</v>
      </c>
      <c r="C161" s="24" t="s">
        <v>14</v>
      </c>
      <c r="D161" s="17" t="s">
        <v>14</v>
      </c>
      <c r="E161" s="17" t="s">
        <v>3898</v>
      </c>
      <c r="F161" s="16" t="s">
        <v>5002</v>
      </c>
      <c r="G161" s="18">
        <v>4</v>
      </c>
      <c r="H161" s="23" t="s">
        <v>4925</v>
      </c>
      <c r="I161" s="17"/>
    </row>
    <row r="162" spans="1:9" ht="15.9" customHeight="1">
      <c r="A162" s="6">
        <v>158</v>
      </c>
      <c r="B162" s="16" t="str">
        <f>HYPERLINK("https://www.alzheimer-europe.org/conferences/2024-geneva/detailed-programme","2024 - 34th Alzheimer Europe Conference")</f>
        <v>2024 - 34th Alzheimer Europe Conference</v>
      </c>
      <c r="C162" s="24" t="s">
        <v>321</v>
      </c>
      <c r="D162" s="17" t="s">
        <v>322</v>
      </c>
      <c r="E162" s="17" t="s">
        <v>4758</v>
      </c>
      <c r="F162" s="16" t="s">
        <v>4759</v>
      </c>
      <c r="G162" s="18">
        <v>6</v>
      </c>
      <c r="H162" s="23" t="s">
        <v>4335</v>
      </c>
      <c r="I162" s="17"/>
    </row>
    <row r="163" spans="1:9" ht="15.9" customHeight="1">
      <c r="A163" s="6">
        <v>159</v>
      </c>
      <c r="B163" s="16" t="str">
        <f>HYPERLINK("https://www.alzheimer-europe.org/conferences/past-conferences/2023-helsinki/detailed-programme","2023 - 33rd Alzheimer Europe Conference")</f>
        <v>2023 - 33rd Alzheimer Europe Conference</v>
      </c>
      <c r="C163" s="24" t="s">
        <v>321</v>
      </c>
      <c r="D163" s="17" t="s">
        <v>322</v>
      </c>
      <c r="E163" s="17" t="s">
        <v>4758</v>
      </c>
      <c r="F163" s="16" t="s">
        <v>4760</v>
      </c>
      <c r="G163" s="18">
        <v>6</v>
      </c>
      <c r="H163" s="23" t="s">
        <v>4335</v>
      </c>
      <c r="I163" s="17"/>
    </row>
    <row r="164" spans="1:9" ht="15.9" customHeight="1">
      <c r="A164" s="6">
        <v>160</v>
      </c>
      <c r="B164" s="16" t="str">
        <f>HYPERLINK("https://www.alzheimer-europe.org/conferences/past-conferences/2022-bucharest/programme-and-abstracts","2022 - 32nd Alzheimer Europe Conference")</f>
        <v>2022 - 32nd Alzheimer Europe Conference</v>
      </c>
      <c r="C164" s="24" t="s">
        <v>321</v>
      </c>
      <c r="D164" s="17" t="s">
        <v>322</v>
      </c>
      <c r="E164" s="17" t="s">
        <v>4758</v>
      </c>
      <c r="F164" s="16" t="s">
        <v>4761</v>
      </c>
      <c r="G164" s="18">
        <v>6</v>
      </c>
      <c r="H164" s="23" t="s">
        <v>4335</v>
      </c>
      <c r="I164" s="17"/>
    </row>
    <row r="165" spans="1:9" ht="15.9" customHeight="1">
      <c r="A165" s="6">
        <v>161</v>
      </c>
      <c r="B165" s="16" t="str">
        <f>HYPERLINK("https://www.alzheimer-europe.org/conferences/past-conferences/2021-online/programme-and-abstracts","2021 - 31st Alzheimer Europe Conference")</f>
        <v>2021 - 31st Alzheimer Europe Conference</v>
      </c>
      <c r="C165" s="24" t="s">
        <v>321</v>
      </c>
      <c r="D165" s="17" t="s">
        <v>322</v>
      </c>
      <c r="E165" s="17" t="s">
        <v>4758</v>
      </c>
      <c r="F165" s="16" t="s">
        <v>4762</v>
      </c>
      <c r="G165" s="18">
        <v>6</v>
      </c>
      <c r="H165" s="23" t="s">
        <v>4335</v>
      </c>
      <c r="I165" s="17"/>
    </row>
    <row r="166" spans="1:9" ht="15.9" customHeight="1">
      <c r="A166" s="6">
        <v>162</v>
      </c>
      <c r="B166" s="16" t="str">
        <f>HYPERLINK("https://www.alzheimer-europe.org/conferences/past-conferences/2020-online/programme-and-abstracts","2020 - 30th Alzheimer Europe Conference")</f>
        <v>2020 - 30th Alzheimer Europe Conference</v>
      </c>
      <c r="C166" s="24" t="s">
        <v>321</v>
      </c>
      <c r="D166" s="17" t="s">
        <v>322</v>
      </c>
      <c r="E166" s="17" t="s">
        <v>4758</v>
      </c>
      <c r="F166" s="16" t="s">
        <v>4763</v>
      </c>
      <c r="G166" s="18">
        <v>6</v>
      </c>
      <c r="H166" s="23" t="s">
        <v>4335</v>
      </c>
      <c r="I166" s="17"/>
    </row>
    <row r="167" spans="1:9" ht="15.9" customHeight="1">
      <c r="A167" s="6">
        <v>163</v>
      </c>
      <c r="B167" s="16" t="str">
        <f>HYPERLINK("https://ean-apps.m-anage.com/ean2024/en-GB/PAG","2024 - 10th Congress of the European Academy of Neurology")</f>
        <v>2024 - 10th Congress of the European Academy of Neurology</v>
      </c>
      <c r="C167" s="24" t="s">
        <v>321</v>
      </c>
      <c r="D167" s="17" t="s">
        <v>322</v>
      </c>
      <c r="E167" s="17" t="s">
        <v>3925</v>
      </c>
      <c r="F167" s="16" t="s">
        <v>5008</v>
      </c>
      <c r="G167" s="18">
        <v>8</v>
      </c>
      <c r="H167" s="23" t="s">
        <v>4925</v>
      </c>
      <c r="I167" s="17"/>
    </row>
    <row r="168" spans="1:9" ht="15.9" customHeight="1">
      <c r="A168" s="6">
        <v>164</v>
      </c>
      <c r="B168" s="16" t="str">
        <f>HYPERLINK("https://ean-apps.m-anage.com/ean2023/en-GB/PAG","2023 - 9th Congress of the European Academy of Neurology")</f>
        <v>2023 - 9th Congress of the European Academy of Neurology</v>
      </c>
      <c r="C168" s="24" t="s">
        <v>321</v>
      </c>
      <c r="D168" s="17" t="s">
        <v>322</v>
      </c>
      <c r="E168" s="17" t="s">
        <v>3925</v>
      </c>
      <c r="F168" s="16" t="s">
        <v>5009</v>
      </c>
      <c r="G168" s="18">
        <v>8</v>
      </c>
      <c r="H168" s="23" t="s">
        <v>4925</v>
      </c>
      <c r="I168" s="17"/>
    </row>
    <row r="169" spans="1:9" ht="15.9" customHeight="1">
      <c r="A169" s="6">
        <v>165</v>
      </c>
      <c r="B169" s="16" t="str">
        <f>HYPERLINK("https://www.ean.org/congress2022","2022 - 8th Congress of the European Academy of Neurology")</f>
        <v>2022 - 8th Congress of the European Academy of Neurology</v>
      </c>
      <c r="C169" s="24" t="s">
        <v>321</v>
      </c>
      <c r="D169" s="17" t="s">
        <v>322</v>
      </c>
      <c r="E169" s="17" t="s">
        <v>3925</v>
      </c>
      <c r="F169" s="16" t="s">
        <v>3926</v>
      </c>
      <c r="G169" s="18">
        <v>8</v>
      </c>
      <c r="H169" s="23" t="s">
        <v>4925</v>
      </c>
      <c r="I169" s="17"/>
    </row>
    <row r="170" spans="1:9" ht="15.9" customHeight="1">
      <c r="A170" s="6">
        <v>166</v>
      </c>
      <c r="B170" s="16" t="str">
        <f>HYPERLINK("https://www.ean.org/congress2021","2021 - 7th Congress of the European Academy of Neurology")</f>
        <v>2021 - 7th Congress of the European Academy of Neurology</v>
      </c>
      <c r="C170" s="24" t="s">
        <v>321</v>
      </c>
      <c r="D170" s="17" t="s">
        <v>322</v>
      </c>
      <c r="E170" s="17" t="s">
        <v>3925</v>
      </c>
      <c r="F170" s="16" t="s">
        <v>3927</v>
      </c>
      <c r="G170" s="18">
        <v>8</v>
      </c>
      <c r="H170" s="23" t="s">
        <v>4925</v>
      </c>
      <c r="I170" s="17"/>
    </row>
    <row r="171" spans="1:9" ht="15.9" customHeight="1">
      <c r="A171" s="6">
        <v>167</v>
      </c>
      <c r="B171" s="16" t="str">
        <f>HYPERLINK("https://www.ean.org/congress-2020/discover/digital-congress/scientific-programme","2020 - 6th Congress of the European Academy of Neurology")</f>
        <v>2020 - 6th Congress of the European Academy of Neurology</v>
      </c>
      <c r="C171" s="24" t="s">
        <v>321</v>
      </c>
      <c r="D171" s="17" t="s">
        <v>322</v>
      </c>
      <c r="E171" s="17" t="s">
        <v>3925</v>
      </c>
      <c r="F171" s="16" t="s">
        <v>3928</v>
      </c>
      <c r="G171" s="18">
        <v>8</v>
      </c>
      <c r="H171" s="23" t="s">
        <v>4925</v>
      </c>
      <c r="I171" s="17"/>
    </row>
    <row r="172" spans="1:9" ht="15.9" customHeight="1">
      <c r="A172" s="6">
        <v>168</v>
      </c>
      <c r="B172" s="16" t="str">
        <f>HYPERLINK("https://mentalacademy.ge/en/eaip-conference-4/?v=f803729628ad","2023 - 11th Conference of the European Association for Integrative Psychotherapy")</f>
        <v>2023 - 11th Conference of the European Association for Integrative Psychotherapy</v>
      </c>
      <c r="C172" s="24" t="s">
        <v>321</v>
      </c>
      <c r="D172" s="17" t="s">
        <v>322</v>
      </c>
      <c r="E172" s="17" t="s">
        <v>3806</v>
      </c>
      <c r="F172" s="16" t="s">
        <v>3807</v>
      </c>
      <c r="G172" s="18">
        <v>5</v>
      </c>
      <c r="H172" s="23" t="s">
        <v>4925</v>
      </c>
      <c r="I172" s="17"/>
    </row>
    <row r="173" spans="1:9" ht="15.9" customHeight="1">
      <c r="A173" s="6">
        <v>169</v>
      </c>
      <c r="B173" s="16" t="str">
        <f>HYPERLINK("https://eaipathens.eu/wordpress/wp-content/uploads/Programme_final.pdf","2021 - 10th Conference of the European Association for Integrative Psychotherapy")</f>
        <v>2021 - 10th Conference of the European Association for Integrative Psychotherapy</v>
      </c>
      <c r="C173" s="24" t="s">
        <v>321</v>
      </c>
      <c r="D173" s="17" t="s">
        <v>322</v>
      </c>
      <c r="E173" s="17" t="s">
        <v>3806</v>
      </c>
      <c r="F173" s="16" t="s">
        <v>3808</v>
      </c>
      <c r="G173" s="18">
        <v>5</v>
      </c>
      <c r="H173" s="23" t="s">
        <v>4925</v>
      </c>
      <c r="I173" s="17"/>
    </row>
    <row r="174" spans="1:9" ht="15.9" customHeight="1">
      <c r="A174" s="6">
        <v>170</v>
      </c>
      <c r="B174" s="16" t="str">
        <f>HYPERLINK("https://www.centreforurbanmentalhealth.com/umh-eaclipt-conference-2024","2024 - Conference of the European Association of Clinical Psychology and Psychological Treatment")</f>
        <v>2024 - Conference of the European Association of Clinical Psychology and Psychological Treatment</v>
      </c>
      <c r="C174" s="24" t="s">
        <v>321</v>
      </c>
      <c r="D174" s="17" t="s">
        <v>322</v>
      </c>
      <c r="E174" s="17" t="s">
        <v>3929</v>
      </c>
      <c r="F174" s="16" t="s">
        <v>3930</v>
      </c>
      <c r="G174" s="18">
        <v>5</v>
      </c>
      <c r="H174" s="23" t="s">
        <v>4925</v>
      </c>
      <c r="I174" s="17"/>
    </row>
    <row r="175" spans="1:9" ht="15.9" customHeight="1">
      <c r="A175" s="6">
        <v>171</v>
      </c>
      <c r="B175" s="16" t="str">
        <f>HYPERLINK("https://www.eaclipt.org/post/eaclipt2024-deadline-extended","2023 - Conference of the European Association of Clinical Psychology and Psychological Treatment")</f>
        <v>2023 - Conference of the European Association of Clinical Psychology and Psychological Treatment</v>
      </c>
      <c r="C175" s="24" t="s">
        <v>321</v>
      </c>
      <c r="D175" s="17" t="s">
        <v>322</v>
      </c>
      <c r="E175" s="17" t="s">
        <v>3929</v>
      </c>
      <c r="F175" s="16" t="s">
        <v>3931</v>
      </c>
      <c r="G175" s="18">
        <v>5</v>
      </c>
      <c r="H175" s="23" t="s">
        <v>4925</v>
      </c>
      <c r="I175" s="17"/>
    </row>
    <row r="176" spans="1:9" ht="15.9" customHeight="1">
      <c r="A176" s="6">
        <v>172</v>
      </c>
      <c r="B176" s="16" t="str">
        <f>HYPERLINK("https://english.swps.pl/we-the-university/our-news-and-events/conferences-and-seminars/eaclipt-conference-clinical-psychology-now/program/program","2022 - Conference of the European Association of Clinical Psychology and Psychological Treatment")</f>
        <v>2022 - Conference of the European Association of Clinical Psychology and Psychological Treatment</v>
      </c>
      <c r="C176" s="24" t="s">
        <v>321</v>
      </c>
      <c r="D176" s="17" t="s">
        <v>322</v>
      </c>
      <c r="E176" s="17" t="s">
        <v>3929</v>
      </c>
      <c r="F176" s="16" t="s">
        <v>3932</v>
      </c>
      <c r="G176" s="18">
        <v>5</v>
      </c>
      <c r="H176" s="23" t="s">
        <v>4925</v>
      </c>
      <c r="I176" s="17"/>
    </row>
    <row r="177" spans="1:9" ht="15.9" customHeight="1">
      <c r="A177" s="6">
        <v>173</v>
      </c>
      <c r="B177" s="16" t="str">
        <f>HYPERLINK("https://www.eaclipt.org/post/eaclipt-update-may-2021","2021 - Conference of the European Association of Clinical Psychology and Psychological Treatment")</f>
        <v>2021 - Conference of the European Association of Clinical Psychology and Psychological Treatment</v>
      </c>
      <c r="C177" s="24" t="s">
        <v>321</v>
      </c>
      <c r="D177" s="17" t="s">
        <v>322</v>
      </c>
      <c r="E177" s="17" t="s">
        <v>3929</v>
      </c>
      <c r="F177" s="16" t="s">
        <v>3933</v>
      </c>
      <c r="G177" s="18">
        <v>5</v>
      </c>
      <c r="H177" s="23" t="s">
        <v>4925</v>
      </c>
      <c r="I177" s="17"/>
    </row>
    <row r="178" spans="1:9" ht="15.9" customHeight="1">
      <c r="A178" s="6">
        <v>174</v>
      </c>
      <c r="B178" s="16" t="str">
        <f>HYPERLINK("https://www.ecnp.eu/congress2024/ECNPcongress/programme/programme#!sessionschedule","2024 - 37th European College of Neuropsychopharmacology Congress")</f>
        <v>2024 - 37th European College of Neuropsychopharmacology Congress</v>
      </c>
      <c r="C178" s="24" t="s">
        <v>321</v>
      </c>
      <c r="D178" s="17" t="s">
        <v>322</v>
      </c>
      <c r="E178" s="17" t="s">
        <v>457</v>
      </c>
      <c r="F178" s="16" t="s">
        <v>3934</v>
      </c>
      <c r="G178" s="18">
        <v>5</v>
      </c>
      <c r="H178" s="23" t="s">
        <v>4925</v>
      </c>
      <c r="I178" s="17"/>
    </row>
    <row r="179" spans="1:9" ht="15.9" customHeight="1">
      <c r="A179" s="6">
        <v>175</v>
      </c>
      <c r="B179" s="16" t="str">
        <f>HYPERLINK("https://www.ecnp.eu/about-ecnp/history/past-ecnp-meetings/past-congresses/barcelona2023/programme#!sessionschedule","2023 - 36th European College of Neuropsychopharmacology Congress")</f>
        <v>2023 - 36th European College of Neuropsychopharmacology Congress</v>
      </c>
      <c r="C179" s="24" t="s">
        <v>321</v>
      </c>
      <c r="D179" s="17" t="s">
        <v>322</v>
      </c>
      <c r="E179" s="17" t="s">
        <v>457</v>
      </c>
      <c r="F179" s="16" t="s">
        <v>3935</v>
      </c>
      <c r="G179" s="18">
        <v>5</v>
      </c>
      <c r="H179" s="23" t="s">
        <v>4925</v>
      </c>
      <c r="I179" s="17"/>
    </row>
    <row r="180" spans="1:9" ht="15.9" customHeight="1">
      <c r="A180" s="6">
        <v>176</v>
      </c>
      <c r="B180" s="16" t="str">
        <f>HYPERLINK("https://www.ecnp.eu/about-ecnp/history/past-ecnp-meetings/past-congresses/vienna2022/programme#!sessionschedule","2022 - 35th European College of Neuropsychopharmacology Congress")</f>
        <v>2022 - 35th European College of Neuropsychopharmacology Congress</v>
      </c>
      <c r="C180" s="24" t="s">
        <v>321</v>
      </c>
      <c r="D180" s="17" t="s">
        <v>322</v>
      </c>
      <c r="E180" s="17" t="s">
        <v>457</v>
      </c>
      <c r="F180" s="16" t="s">
        <v>3936</v>
      </c>
      <c r="G180" s="18">
        <v>5</v>
      </c>
      <c r="H180" s="23" t="s">
        <v>4925</v>
      </c>
      <c r="I180" s="17"/>
    </row>
    <row r="181" spans="1:9" ht="15.9" customHeight="1">
      <c r="A181" s="6">
        <v>177</v>
      </c>
      <c r="B181" s="16" t="str">
        <f>HYPERLINK("https://www.ecnp.eu/about-ecnp/history/past-ecnp-meetings/past-congresses/lisbon2021/Programme#!sessionschedule","2021 - 34th European College of Neuropsychopharmacology Congress")</f>
        <v>2021 - 34th European College of Neuropsychopharmacology Congress</v>
      </c>
      <c r="C181" s="24" t="s">
        <v>321</v>
      </c>
      <c r="D181" s="17" t="s">
        <v>322</v>
      </c>
      <c r="E181" s="17" t="s">
        <v>457</v>
      </c>
      <c r="F181" s="16" t="s">
        <v>3937</v>
      </c>
      <c r="G181" s="18">
        <v>5</v>
      </c>
      <c r="H181" s="23" t="s">
        <v>4925</v>
      </c>
      <c r="I181" s="17"/>
    </row>
    <row r="182" spans="1:9" ht="15.9" customHeight="1">
      <c r="A182" s="6">
        <v>178</v>
      </c>
      <c r="B182" s="16" t="str">
        <f>HYPERLINK("https://www.ecnp.eu/about-ecnp/history/past-ecnp-meetings/past-congresses/virtual-2020/Programme#!sessionschedule","2020 - 33rd European College of Neuropsychopharmacology Congress")</f>
        <v>2020 - 33rd European College of Neuropsychopharmacology Congress</v>
      </c>
      <c r="C182" s="24" t="s">
        <v>321</v>
      </c>
      <c r="D182" s="17" t="s">
        <v>322</v>
      </c>
      <c r="E182" s="17" t="s">
        <v>457</v>
      </c>
      <c r="F182" s="16" t="s">
        <v>3938</v>
      </c>
      <c r="G182" s="18">
        <v>5</v>
      </c>
      <c r="H182" s="23" t="s">
        <v>4925</v>
      </c>
      <c r="I182" s="17"/>
    </row>
    <row r="183" spans="1:9" ht="15.9" customHeight="1">
      <c r="A183" s="6">
        <v>179</v>
      </c>
      <c r="B183" s="16" t="str">
        <f>HYPERLINK("https://efpp-conference2024.com/schedule-i/","2024 - European Federation for Psychoanalytic Psychotherapy Conference")</f>
        <v>2024 - European Federation for Psychoanalytic Psychotherapy Conference</v>
      </c>
      <c r="C183" s="24" t="s">
        <v>321</v>
      </c>
      <c r="D183" s="17" t="s">
        <v>322</v>
      </c>
      <c r="E183" s="17" t="s">
        <v>3939</v>
      </c>
      <c r="F183" s="16" t="s">
        <v>3940</v>
      </c>
      <c r="G183" s="18">
        <v>5</v>
      </c>
      <c r="H183" s="23" t="s">
        <v>4925</v>
      </c>
      <c r="I183" s="17"/>
    </row>
    <row r="184" spans="1:9" ht="15.9" customHeight="1">
      <c r="A184" s="6">
        <v>180</v>
      </c>
      <c r="B184" s="16" t="str">
        <f>HYPERLINK("https://ecp2023.eu/wp-content/uploads/2023/07/ECP-2023-Scientific-Programme-v15.pdf","2023 - 18th European Congress of Psychology")</f>
        <v>2023 - 18th European Congress of Psychology</v>
      </c>
      <c r="C184" s="24" t="s">
        <v>321</v>
      </c>
      <c r="D184" s="17" t="s">
        <v>322</v>
      </c>
      <c r="E184" s="17" t="s">
        <v>3941</v>
      </c>
      <c r="F184" s="16" t="s">
        <v>3942</v>
      </c>
      <c r="G184" s="18">
        <v>5</v>
      </c>
      <c r="H184" s="23" t="s">
        <v>4925</v>
      </c>
      <c r="I184" s="17"/>
    </row>
    <row r="185" spans="1:9" ht="15.9" customHeight="1">
      <c r="A185" s="6">
        <v>181</v>
      </c>
      <c r="B185" s="16" t="str">
        <f>HYPERLINK("https://www.emedevents.com/c/medical-conferences-2022/17th-european-congress-of-psychology","2022 - 17th European Congress of Psychology")</f>
        <v>2022 - 17th European Congress of Psychology</v>
      </c>
      <c r="C185" s="24" t="s">
        <v>321</v>
      </c>
      <c r="D185" s="17" t="s">
        <v>322</v>
      </c>
      <c r="E185" s="17" t="s">
        <v>3941</v>
      </c>
      <c r="F185" s="16" t="s">
        <v>3943</v>
      </c>
      <c r="G185" s="18">
        <v>5</v>
      </c>
      <c r="H185" s="23" t="s">
        <v>4925</v>
      </c>
      <c r="I185" s="17"/>
    </row>
    <row r="186" spans="1:9" ht="15.9" customHeight="1">
      <c r="A186" s="6">
        <v>182</v>
      </c>
      <c r="B186" s="16" t="str">
        <f>HYPERLINK("https://eugms2024.com/wp-content/uploads/2024/08/PROGRAM210824.pdf","2024 - 20th European Geriatric Medicine Society Congress")</f>
        <v>2024 - 20th European Geriatric Medicine Society Congress</v>
      </c>
      <c r="C186" s="24" t="s">
        <v>321</v>
      </c>
      <c r="D186" s="17" t="s">
        <v>322</v>
      </c>
      <c r="E186" s="17" t="s">
        <v>4764</v>
      </c>
      <c r="F186" s="16" t="s">
        <v>4765</v>
      </c>
      <c r="G186" s="18">
        <v>9</v>
      </c>
      <c r="H186" s="23" t="s">
        <v>4925</v>
      </c>
      <c r="I186" s="17"/>
    </row>
    <row r="187" spans="1:9" ht="15.9" customHeight="1">
      <c r="A187" s="6">
        <v>183</v>
      </c>
      <c r="B187" s="16" t="str">
        <f>HYPERLINK("https://eugms2023.com/wp-content/uploads/2023/09/EuGMS-2023-TIMETABLE-19.09.pdf","2023 - 19th European Geriatric Medicine Society Congress")</f>
        <v>2023 - 19th European Geriatric Medicine Society Congress</v>
      </c>
      <c r="C187" s="24" t="s">
        <v>321</v>
      </c>
      <c r="D187" s="17" t="s">
        <v>322</v>
      </c>
      <c r="E187" s="17" t="s">
        <v>4764</v>
      </c>
      <c r="F187" s="16" t="s">
        <v>4766</v>
      </c>
      <c r="G187" s="18">
        <v>9</v>
      </c>
      <c r="H187" s="23" t="s">
        <v>4925</v>
      </c>
      <c r="I187" s="17"/>
    </row>
    <row r="188" spans="1:9" ht="15.9" customHeight="1">
      <c r="A188" s="6">
        <v>184</v>
      </c>
      <c r="B188" s="16" t="str">
        <f>HYPERLINK("https://eugms2022.com/wp-content/uploads/2022/09/SCIENTIFICPROGRAM.pdf","2022 - 18th European Geriatric Medicine Society Congress")</f>
        <v>2022 - 18th European Geriatric Medicine Society Congress</v>
      </c>
      <c r="C188" s="24" t="s">
        <v>321</v>
      </c>
      <c r="D188" s="17" t="s">
        <v>322</v>
      </c>
      <c r="E188" s="17" t="s">
        <v>4764</v>
      </c>
      <c r="F188" s="16" t="s">
        <v>4767</v>
      </c>
      <c r="G188" s="18">
        <v>9</v>
      </c>
      <c r="H188" s="23" t="s">
        <v>4925</v>
      </c>
      <c r="I188" s="17"/>
    </row>
    <row r="189" spans="1:9" ht="15.9" customHeight="1">
      <c r="A189" s="6">
        <v>185</v>
      </c>
      <c r="B189" s="16" t="str">
        <f>HYPERLINK("https://www.eugms.org/2021.html","2021 - 17th European Geriatric Medicine Society Congress")</f>
        <v>2021 - 17th European Geriatric Medicine Society Congress</v>
      </c>
      <c r="C189" s="24" t="s">
        <v>321</v>
      </c>
      <c r="D189" s="17" t="s">
        <v>322</v>
      </c>
      <c r="E189" s="17" t="s">
        <v>4764</v>
      </c>
      <c r="F189" s="16" t="s">
        <v>4768</v>
      </c>
      <c r="G189" s="18">
        <v>9</v>
      </c>
      <c r="H189" s="23" t="s">
        <v>4925</v>
      </c>
      <c r="I189" s="17"/>
    </row>
    <row r="190" spans="1:9" ht="15.9" customHeight="1">
      <c r="A190" s="6">
        <v>186</v>
      </c>
      <c r="B190" s="16" t="str">
        <f>HYPERLINK("https://www.eugms.org/2020.html","2020 - 16th European Geriatric Medicine Society E-Congress")</f>
        <v>2020 - 16th European Geriatric Medicine Society E-Congress</v>
      </c>
      <c r="C190" s="24" t="s">
        <v>321</v>
      </c>
      <c r="D190" s="17" t="s">
        <v>322</v>
      </c>
      <c r="E190" s="17" t="s">
        <v>4764</v>
      </c>
      <c r="F190" s="16" t="s">
        <v>4769</v>
      </c>
      <c r="G190" s="18">
        <v>9</v>
      </c>
      <c r="H190" s="23" t="s">
        <v>4925</v>
      </c>
      <c r="I190" s="17"/>
    </row>
    <row r="191" spans="1:9" ht="15.9" customHeight="1">
      <c r="A191" s="6">
        <v>187</v>
      </c>
      <c r="B191" s="16" t="str">
        <f>HYPERLINK("https://2024.ehps.net/wp-content/uploads/2024/08/ehps24_final_program_02_august.pdf","2024 - 38th Annual Conference of the European Health Psychology Society")</f>
        <v>2024 - 38th Annual Conference of the European Health Psychology Society</v>
      </c>
      <c r="C191" s="24" t="s">
        <v>321</v>
      </c>
      <c r="D191" s="17" t="s">
        <v>322</v>
      </c>
      <c r="E191" s="17" t="s">
        <v>3944</v>
      </c>
      <c r="F191" s="16" t="s">
        <v>3945</v>
      </c>
      <c r="G191" s="18">
        <v>5</v>
      </c>
      <c r="H191" s="23" t="s">
        <v>4925</v>
      </c>
      <c r="I191" s="17"/>
    </row>
    <row r="192" spans="1:9" ht="15.9" customHeight="1">
      <c r="A192" s="6">
        <v>188</v>
      </c>
      <c r="B192" s="16" t="str">
        <f>HYPERLINK("https://2023.ehps.net/wp-content/uploads/2023/09/ehps23_final_programme_05_09.pdf","2023 - 37th Annual Conference of the European Health Psychology Society")</f>
        <v>2023 - 37th Annual Conference of the European Health Psychology Society</v>
      </c>
      <c r="C192" s="24" t="s">
        <v>321</v>
      </c>
      <c r="D192" s="17" t="s">
        <v>322</v>
      </c>
      <c r="E192" s="17" t="s">
        <v>3944</v>
      </c>
      <c r="F192" s="16" t="s">
        <v>3946</v>
      </c>
      <c r="G192" s="18">
        <v>5</v>
      </c>
      <c r="H192" s="23" t="s">
        <v>4925</v>
      </c>
      <c r="I192" s="17"/>
    </row>
    <row r="193" spans="1:9" ht="15.9" customHeight="1">
      <c r="A193" s="6">
        <v>189</v>
      </c>
      <c r="B193" s="16" t="str">
        <f>HYPERLINK("https://2022.ehps.net/wp-content/uploads/2022/08/EHPS_2022_SimpleProgram_24.08.2022_13.47.pdf","2022 - 36th Annual Conference of the European Health Psychology Society")</f>
        <v>2022 - 36th Annual Conference of the European Health Psychology Society</v>
      </c>
      <c r="C193" s="24" t="s">
        <v>321</v>
      </c>
      <c r="D193" s="17" t="s">
        <v>322</v>
      </c>
      <c r="E193" s="17" t="s">
        <v>3944</v>
      </c>
      <c r="F193" s="16" t="s">
        <v>3947</v>
      </c>
      <c r="G193" s="18">
        <v>5</v>
      </c>
      <c r="H193" s="23" t="s">
        <v>4925</v>
      </c>
      <c r="I193" s="17"/>
    </row>
    <row r="194" spans="1:9" ht="15.9" customHeight="1">
      <c r="A194" s="6">
        <v>190</v>
      </c>
      <c r="B194" s="16" t="str">
        <f>HYPERLINK("https://2021.ehps.net/wp-content/uploads/2021/07/ehps21_full_programme.pdf","2021 - 35th Annual Conference of the European Health Psychology Society")</f>
        <v>2021 - 35th Annual Conference of the European Health Psychology Society</v>
      </c>
      <c r="C194" s="24" t="s">
        <v>321</v>
      </c>
      <c r="D194" s="17" t="s">
        <v>322</v>
      </c>
      <c r="E194" s="17" t="s">
        <v>3944</v>
      </c>
      <c r="F194" s="16" t="s">
        <v>3948</v>
      </c>
      <c r="G194" s="18">
        <v>5</v>
      </c>
      <c r="H194" s="23" t="s">
        <v>4925</v>
      </c>
      <c r="I194" s="17"/>
    </row>
    <row r="195" spans="1:9" ht="15.9" customHeight="1">
      <c r="A195" s="6">
        <v>191</v>
      </c>
      <c r="B195" s="16" t="str">
        <f>HYPERLINK("https://www.psyssa.com/34th-annual-conference-of-the-european-health-psych/","2020 - 34th Annual Conference of the European Health Psychology Society")</f>
        <v>2020 - 34th Annual Conference of the European Health Psychology Society</v>
      </c>
      <c r="C195" s="24" t="s">
        <v>321</v>
      </c>
      <c r="D195" s="17" t="s">
        <v>322</v>
      </c>
      <c r="E195" s="17" t="s">
        <v>3944</v>
      </c>
      <c r="F195" s="16" t="s">
        <v>3949</v>
      </c>
      <c r="G195" s="18">
        <v>5</v>
      </c>
      <c r="H195" s="23" t="s">
        <v>4925</v>
      </c>
      <c r="I195" s="17"/>
    </row>
    <row r="196" spans="1:9" ht="15.9" customHeight="1">
      <c r="A196" s="6">
        <v>192</v>
      </c>
      <c r="B196" s="16" t="str">
        <f>HYPERLINK("https://www.ecpp2024.com/conference-shedule/","2024 - 11th European Conference on Positive Psychology")</f>
        <v>2024 - 11th European Conference on Positive Psychology</v>
      </c>
      <c r="C196" s="24" t="s">
        <v>321</v>
      </c>
      <c r="D196" s="17" t="s">
        <v>322</v>
      </c>
      <c r="E196" s="17" t="s">
        <v>3809</v>
      </c>
      <c r="F196" s="16" t="s">
        <v>3950</v>
      </c>
      <c r="G196" s="18">
        <v>5</v>
      </c>
      <c r="H196" s="23" t="s">
        <v>4925</v>
      </c>
      <c r="I196" s="17"/>
    </row>
    <row r="197" spans="1:9" ht="15.9" customHeight="1">
      <c r="A197" s="6">
        <v>193</v>
      </c>
      <c r="B197" s="16" t="str">
        <f>HYPERLINK("https://ecpp2020.com/ecpp/","2022 - 10th European Conference on Positive Psychology")</f>
        <v>2022 - 10th European Conference on Positive Psychology</v>
      </c>
      <c r="C197" s="24" t="s">
        <v>321</v>
      </c>
      <c r="D197" s="17" t="s">
        <v>322</v>
      </c>
      <c r="E197" s="17" t="s">
        <v>3809</v>
      </c>
      <c r="F197" s="16" t="s">
        <v>3951</v>
      </c>
      <c r="G197" s="18">
        <v>5</v>
      </c>
      <c r="H197" s="23" t="s">
        <v>4925</v>
      </c>
      <c r="I197" s="17"/>
    </row>
    <row r="198" spans="1:9" ht="15.9" customHeight="1">
      <c r="A198" s="6">
        <v>194</v>
      </c>
      <c r="B198" s="16" t="str">
        <f>HYPERLINK("https://2024.epa-congress.org/programme/scientific-programme/","2024 - 32nd European Congress of Psychiatry")</f>
        <v>2024 - 32nd European Congress of Psychiatry</v>
      </c>
      <c r="C198" s="24" t="s">
        <v>321</v>
      </c>
      <c r="D198" s="17" t="s">
        <v>322</v>
      </c>
      <c r="E198" s="17" t="s">
        <v>489</v>
      </c>
      <c r="F198" s="16" t="s">
        <v>3952</v>
      </c>
      <c r="G198" s="18">
        <v>4</v>
      </c>
      <c r="H198" s="23" t="s">
        <v>4925</v>
      </c>
      <c r="I198" s="17"/>
    </row>
    <row r="199" spans="1:9" ht="15.9" customHeight="1">
      <c r="A199" s="6">
        <v>195</v>
      </c>
      <c r="B199" s="16" t="str">
        <f>HYPERLINK("https://b-com.mci-group.com/CommunityPortal/ProgressivePortal/EPA2023/App/Views/InformationPage/View.aspx?InformationPageID=17291","2023 - 31st European Congress of Psychiatry")</f>
        <v>2023 - 31st European Congress of Psychiatry</v>
      </c>
      <c r="C199" s="24" t="s">
        <v>321</v>
      </c>
      <c r="D199" s="17" t="s">
        <v>322</v>
      </c>
      <c r="E199" s="17" t="s">
        <v>489</v>
      </c>
      <c r="F199" s="16" t="s">
        <v>3953</v>
      </c>
      <c r="G199" s="18">
        <v>4</v>
      </c>
      <c r="H199" s="23" t="s">
        <v>4925</v>
      </c>
      <c r="I199" s="17"/>
    </row>
    <row r="200" spans="1:9" ht="15.9" customHeight="1">
      <c r="A200" s="6">
        <v>196</v>
      </c>
      <c r="B200" s="16" t="str">
        <f>HYPERLINK("https://cslide.ctimeetingtech.com/epa22/attendee/confcal/session/calendar/2022-06-03","2022 - 30th European Congress of Psychiatry")</f>
        <v>2022 - 30th European Congress of Psychiatry</v>
      </c>
      <c r="C200" s="24" t="s">
        <v>321</v>
      </c>
      <c r="D200" s="17" t="s">
        <v>322</v>
      </c>
      <c r="E200" s="17" t="s">
        <v>489</v>
      </c>
      <c r="F200" s="16" t="s">
        <v>3954</v>
      </c>
      <c r="G200" s="18">
        <v>4</v>
      </c>
      <c r="H200" s="23" t="s">
        <v>4925</v>
      </c>
      <c r="I200" s="17"/>
    </row>
    <row r="201" spans="1:9" ht="15.9" customHeight="1">
      <c r="A201" s="6">
        <v>197</v>
      </c>
      <c r="B201" s="16" t="str">
        <f>HYPERLINK("https://cslide.ctimeetingtech.com/epa21/attendee/confcal","2021 - 29th European Congress of Psychiatry")</f>
        <v>2021 - 29th European Congress of Psychiatry</v>
      </c>
      <c r="C201" s="24" t="s">
        <v>321</v>
      </c>
      <c r="D201" s="17" t="s">
        <v>322</v>
      </c>
      <c r="E201" s="17" t="s">
        <v>489</v>
      </c>
      <c r="F201" s="16" t="s">
        <v>3955</v>
      </c>
      <c r="G201" s="18">
        <v>4</v>
      </c>
      <c r="H201" s="23" t="s">
        <v>4925</v>
      </c>
      <c r="I201" s="17"/>
    </row>
    <row r="202" spans="1:9" ht="15.9" customHeight="1">
      <c r="A202" s="6">
        <v>198</v>
      </c>
      <c r="B202" s="16" t="str">
        <f>HYPERLINK("https://www.europsy.net/app/uploads/2021/01/2020-List-of-ECP-Sessions.pdf","2020 - 28th European Congress of Psychiatry")</f>
        <v>2020 - 28th European Congress of Psychiatry</v>
      </c>
      <c r="C202" s="24" t="s">
        <v>321</v>
      </c>
      <c r="D202" s="17" t="s">
        <v>322</v>
      </c>
      <c r="E202" s="17" t="s">
        <v>489</v>
      </c>
      <c r="F202" s="16" t="s">
        <v>3956</v>
      </c>
      <c r="G202" s="18">
        <v>4</v>
      </c>
      <c r="H202" s="23" t="s">
        <v>4925</v>
      </c>
      <c r="I202" s="17"/>
    </row>
    <row r="203" spans="1:9" ht="15.9" customHeight="1">
      <c r="A203" s="6">
        <v>199</v>
      </c>
      <c r="B203" s="16" t="str">
        <f>HYPERLINK("https://www.schizophrenianet.eu/scientific-programme/final-programme.html","2024 - 9th European Conference on Schizophrenia Research")</f>
        <v>2024 - 9th European Conference on Schizophrenia Research</v>
      </c>
      <c r="C203" s="24" t="s">
        <v>321</v>
      </c>
      <c r="D203" s="17" t="s">
        <v>322</v>
      </c>
      <c r="E203" s="17" t="s">
        <v>3957</v>
      </c>
      <c r="F203" s="16" t="s">
        <v>3958</v>
      </c>
      <c r="G203" s="25">
        <v>1</v>
      </c>
      <c r="H203" s="23" t="s">
        <v>371</v>
      </c>
      <c r="I203" s="17"/>
    </row>
    <row r="204" spans="1:9" ht="15.9" customHeight="1">
      <c r="A204" s="6">
        <v>200</v>
      </c>
      <c r="B204" s="16" t="str">
        <f>HYPERLINK("https://www.schizophrenianet.eu/_Resources/Persistent/3f0144ede85e3ef98ab46ebb14406fd474aff4cb/WebFlyerECSR2021.pdf","2021 - 8th European Conference on Schizophrenia Research")</f>
        <v>2021 - 8th European Conference on Schizophrenia Research</v>
      </c>
      <c r="C204" s="24" t="s">
        <v>321</v>
      </c>
      <c r="D204" s="17" t="s">
        <v>322</v>
      </c>
      <c r="E204" s="17" t="s">
        <v>3957</v>
      </c>
      <c r="F204" s="16" t="s">
        <v>3959</v>
      </c>
      <c r="G204" s="25">
        <v>1</v>
      </c>
      <c r="H204" s="23" t="s">
        <v>371</v>
      </c>
      <c r="I204" s="17"/>
    </row>
    <row r="205" spans="1:9" ht="15.9" customHeight="1">
      <c r="A205" s="6">
        <v>201</v>
      </c>
      <c r="B205" s="16" t="str">
        <f>HYPERLINK("https://fens2024.abstractserver.com/program/#/program/1/list","2024 - Federation of European Neuroscience Societies Forum of Neuroscience")</f>
        <v>2024 - Federation of European Neuroscience Societies Forum of Neuroscience</v>
      </c>
      <c r="C205" s="24" t="s">
        <v>321</v>
      </c>
      <c r="D205" s="17" t="s">
        <v>322</v>
      </c>
      <c r="E205" s="17" t="s">
        <v>3960</v>
      </c>
      <c r="F205" s="16" t="s">
        <v>3961</v>
      </c>
      <c r="G205" s="18">
        <v>8</v>
      </c>
      <c r="H205" s="23" t="s">
        <v>4925</v>
      </c>
      <c r="I205" s="17"/>
    </row>
    <row r="206" spans="1:9" ht="15.9" customHeight="1">
      <c r="A206" s="6">
        <v>202</v>
      </c>
      <c r="B206" s="16" t="str">
        <f>HYPERLINK("https://fensforum.org/wp-content/uploads/2022/07/FENS22-Programme-at-a-glance-1.pdf","2022 - Federation of European Neuroscience Societies Forum of Neuroscience")</f>
        <v>2022 - Federation of European Neuroscience Societies Forum of Neuroscience</v>
      </c>
      <c r="C206" s="24" t="s">
        <v>321</v>
      </c>
      <c r="D206" s="17" t="s">
        <v>322</v>
      </c>
      <c r="E206" s="17" t="s">
        <v>3960</v>
      </c>
      <c r="F206" s="16" t="s">
        <v>3962</v>
      </c>
      <c r="G206" s="18">
        <v>8</v>
      </c>
      <c r="H206" s="23" t="s">
        <v>4925</v>
      </c>
      <c r="I206" s="17"/>
    </row>
    <row r="207" spans="1:9" ht="15.9" customHeight="1">
      <c r="A207" s="6">
        <v>203</v>
      </c>
      <c r="B207" s="16" t="str">
        <f>HYPERLINK("https://forum2020.fens.org/wp-content/uploads/sites/51/2020/07/913657_FENS2020_PROGRAMME-AT-A-GLANCE.pdf","2020 - Federation of European Neuroscience Societies Forum of Neuroscience")</f>
        <v>2020 - Federation of European Neuroscience Societies Forum of Neuroscience</v>
      </c>
      <c r="C207" s="24" t="s">
        <v>321</v>
      </c>
      <c r="D207" s="17" t="s">
        <v>322</v>
      </c>
      <c r="E207" s="17" t="s">
        <v>3960</v>
      </c>
      <c r="F207" s="16" t="s">
        <v>3963</v>
      </c>
      <c r="G207" s="18">
        <v>8</v>
      </c>
      <c r="H207" s="23" t="s">
        <v>4925</v>
      </c>
      <c r="I207" s="17"/>
    </row>
    <row r="208" spans="1:9" ht="15.9" customHeight="1">
      <c r="A208" s="6">
        <v>204</v>
      </c>
      <c r="B208" s="16" t="str">
        <f>HYPERLINK("https://fesn-hnps2023.gr/wp-content/uploads/2023/09/FESN2023_Agenda_booklet_A4_Preview_new.pdf","2023 - 8th Scientific Meeting of Federation of the European Societies of Neuropsychology")</f>
        <v>2023 - 8th Scientific Meeting of Federation of the European Societies of Neuropsychology</v>
      </c>
      <c r="C208" s="24" t="s">
        <v>321</v>
      </c>
      <c r="D208" s="17" t="s">
        <v>322</v>
      </c>
      <c r="E208" s="17" t="s">
        <v>3964</v>
      </c>
      <c r="F208" s="16" t="s">
        <v>3965</v>
      </c>
      <c r="G208" s="18">
        <v>5</v>
      </c>
      <c r="H208" s="23" t="s">
        <v>4925</v>
      </c>
      <c r="I208" s="17"/>
    </row>
    <row r="209" spans="1:9" ht="15.9" customHeight="1">
      <c r="A209" s="6">
        <v>205</v>
      </c>
      <c r="B209" s="16" t="str">
        <f>HYPERLINK("https://cdn.ymaws.com/www.psychotherapyresearch.org/resource/resmgr/eu-spr/events/brno2024/EU_UK-SPR2024_Program.pdf","2024 - 6th Conference on Joint European &amp; UK Society for Psychotherapy Research Chapters")</f>
        <v>2024 - 6th Conference on Joint European &amp; UK Society for Psychotherapy Research Chapters</v>
      </c>
      <c r="C209" s="24" t="s">
        <v>321</v>
      </c>
      <c r="D209" s="17" t="s">
        <v>322</v>
      </c>
      <c r="E209" s="17" t="s">
        <v>4288</v>
      </c>
      <c r="F209" s="16" t="s">
        <v>4290</v>
      </c>
      <c r="G209" s="18">
        <v>5</v>
      </c>
      <c r="H209" s="23" t="s">
        <v>4925</v>
      </c>
      <c r="I209" s="17"/>
    </row>
    <row r="210" spans="1:9" ht="15.9" customHeight="1">
      <c r="A210" s="6">
        <v>206</v>
      </c>
      <c r="B210" s="16" t="str">
        <f>HYPERLINK("https://cdn.ymaws.com/www.psychotherapyresearch.org/resource/resmgr/eu-spr/EU-SPR2022_Program.pdf","2022 - 9th Chapter Meeting on Society for Psychotherapy Research Europe Chapter")</f>
        <v>2022 - 9th Chapter Meeting on Society for Psychotherapy Research Europe Chapter</v>
      </c>
      <c r="C210" s="24" t="s">
        <v>321</v>
      </c>
      <c r="D210" s="17" t="s">
        <v>322</v>
      </c>
      <c r="E210" s="17" t="s">
        <v>4288</v>
      </c>
      <c r="F210" s="16" t="s">
        <v>4295</v>
      </c>
      <c r="G210" s="18">
        <v>5</v>
      </c>
      <c r="H210" s="23" t="s">
        <v>4925</v>
      </c>
      <c r="I210" s="17"/>
    </row>
    <row r="211" spans="1:9" ht="15.9" hidden="1" customHeight="1">
      <c r="A211" s="6">
        <v>207</v>
      </c>
      <c r="B211" s="16" t="str">
        <f>HYPERLINK("https://www.cacap-acpea.org/wp-content/uploads/CACAP2024_Conference-Program_v6.pdf","2024 - 44th Annual Meeting of Canadian Academy of Child and Adolescent Psychiatry")</f>
        <v>2024 - 44th Annual Meeting of Canadian Academy of Child and Adolescent Psychiatry</v>
      </c>
      <c r="C211" s="24" t="s">
        <v>15</v>
      </c>
      <c r="D211" s="17" t="s">
        <v>24</v>
      </c>
      <c r="E211" s="17" t="s">
        <v>3971</v>
      </c>
      <c r="F211" s="16" t="s">
        <v>3972</v>
      </c>
      <c r="G211" s="18">
        <v>4</v>
      </c>
      <c r="H211" s="23" t="s">
        <v>4925</v>
      </c>
      <c r="I211" s="17"/>
    </row>
    <row r="212" spans="1:9" ht="15.9" hidden="1" customHeight="1">
      <c r="A212" s="6">
        <v>208</v>
      </c>
      <c r="B212" s="16" t="str">
        <f>HYPERLINK("https://az659834.vo.msecnd.net/eventsaircaneprod/production-uottawacpd-public/403c2b9c41a64133b885ea26b7723b78","2023 - 43rd Annual Meeting of Canadian Academy of Child and Adolescent Psychiatry")</f>
        <v>2023 - 43rd Annual Meeting of Canadian Academy of Child and Adolescent Psychiatry</v>
      </c>
      <c r="C212" s="24" t="s">
        <v>15</v>
      </c>
      <c r="D212" s="17" t="s">
        <v>24</v>
      </c>
      <c r="E212" s="17" t="s">
        <v>3971</v>
      </c>
      <c r="F212" s="16" t="s">
        <v>3973</v>
      </c>
      <c r="G212" s="18">
        <v>4</v>
      </c>
      <c r="H212" s="23" t="s">
        <v>4925</v>
      </c>
      <c r="I212" s="17"/>
    </row>
    <row r="213" spans="1:9" ht="15.9" hidden="1" customHeight="1">
      <c r="A213" s="6">
        <v>209</v>
      </c>
      <c r="B213" s="16" t="str">
        <f>HYPERLINK("https://iacapap.org/news/41st-annual-cacap-conference.html","2021 - 41st Annual Meeting of Canadian Academy of Child and Adolescent Psychiatry")</f>
        <v>2021 - 41st Annual Meeting of Canadian Academy of Child and Adolescent Psychiatry</v>
      </c>
      <c r="C213" s="24" t="s">
        <v>15</v>
      </c>
      <c r="D213" s="17" t="s">
        <v>24</v>
      </c>
      <c r="E213" s="17" t="s">
        <v>3971</v>
      </c>
      <c r="F213" s="16" t="s">
        <v>3974</v>
      </c>
      <c r="G213" s="18">
        <v>4</v>
      </c>
      <c r="H213" s="23" t="s">
        <v>4925</v>
      </c>
      <c r="I213" s="17"/>
    </row>
    <row r="214" spans="1:9" ht="15.9" hidden="1" customHeight="1">
      <c r="A214" s="6">
        <v>210</v>
      </c>
      <c r="B214" s="16" t="str">
        <f>HYPERLINK("https://az659834.vo.msecnd.net/eventsaircaneprod/production-uottawacpd-public/baee34b853fa402298607e2af64ea525","2020 - 40th Annual Meeting of Canadian Academy of Child and Adolescent Psychiatry")</f>
        <v>2020 - 40th Annual Meeting of Canadian Academy of Child and Adolescent Psychiatry</v>
      </c>
      <c r="C214" s="24" t="s">
        <v>15</v>
      </c>
      <c r="D214" s="17" t="s">
        <v>24</v>
      </c>
      <c r="E214" s="17" t="s">
        <v>3971</v>
      </c>
      <c r="F214" s="16" t="s">
        <v>3975</v>
      </c>
      <c r="G214" s="18">
        <v>4</v>
      </c>
      <c r="H214" s="23" t="s">
        <v>4925</v>
      </c>
      <c r="I214" s="17"/>
    </row>
    <row r="215" spans="1:9" ht="15.9" hidden="1" customHeight="1">
      <c r="A215" s="6">
        <v>211</v>
      </c>
      <c r="B215" s="16" t="str">
        <f>HYPERLINK("https://www.cagp.ca/2024-Program","2024 - Annual Scientific Meeting of the Canadian Academy of Geriatric Psychiatry")</f>
        <v>2024 - Annual Scientific Meeting of the Canadian Academy of Geriatric Psychiatry</v>
      </c>
      <c r="C215" s="24" t="s">
        <v>15</v>
      </c>
      <c r="D215" s="17" t="s">
        <v>24</v>
      </c>
      <c r="E215" s="17" t="s">
        <v>4305</v>
      </c>
      <c r="F215" s="16" t="s">
        <v>3976</v>
      </c>
      <c r="G215" s="18">
        <v>4</v>
      </c>
      <c r="H215" s="23" t="s">
        <v>4925</v>
      </c>
      <c r="I215" s="17"/>
    </row>
    <row r="216" spans="1:9" ht="15.9" hidden="1" customHeight="1">
      <c r="A216" s="6">
        <v>212</v>
      </c>
      <c r="B216" s="16" t="str">
        <f>HYPERLINK("https://www.cagp.ca/2023-Program","2023 - Annual Scientific Meeting of the Canadian Academy of Geriatric Psychiatry")</f>
        <v>2023 - Annual Scientific Meeting of the Canadian Academy of Geriatric Psychiatry</v>
      </c>
      <c r="C216" s="24" t="s">
        <v>15</v>
      </c>
      <c r="D216" s="17" t="s">
        <v>24</v>
      </c>
      <c r="E216" s="17" t="s">
        <v>4305</v>
      </c>
      <c r="F216" s="16" t="s">
        <v>3977</v>
      </c>
      <c r="G216" s="18">
        <v>4</v>
      </c>
      <c r="H216" s="23" t="s">
        <v>4925</v>
      </c>
      <c r="I216" s="17"/>
    </row>
    <row r="217" spans="1:9" ht="15.9" hidden="1" customHeight="1">
      <c r="A217" s="6">
        <v>213</v>
      </c>
      <c r="B217" s="16" t="str">
        <f>HYPERLINK("https://www.cagp.ca/2022-Program","2022 - Annual Scientific Meeting of the Canadian Academy of Geriatric Psychiatry")</f>
        <v>2022 - Annual Scientific Meeting of the Canadian Academy of Geriatric Psychiatry</v>
      </c>
      <c r="C217" s="24" t="s">
        <v>15</v>
      </c>
      <c r="D217" s="17" t="s">
        <v>24</v>
      </c>
      <c r="E217" s="17" t="s">
        <v>4305</v>
      </c>
      <c r="F217" s="16" t="s">
        <v>3978</v>
      </c>
      <c r="G217" s="18">
        <v>4</v>
      </c>
      <c r="H217" s="23" t="s">
        <v>4925</v>
      </c>
      <c r="I217" s="17"/>
    </row>
    <row r="218" spans="1:9" ht="15.9" hidden="1" customHeight="1">
      <c r="A218" s="6">
        <v>214</v>
      </c>
      <c r="B218" s="16" t="str">
        <f>HYPERLINK("https://www.cagp.ca/2021-ASM-Program/","2021 - Annual Scientific Meeting of the Canadian Academy of Geriatric Psychiatry")</f>
        <v>2021 - Annual Scientific Meeting of the Canadian Academy of Geriatric Psychiatry</v>
      </c>
      <c r="C218" s="24" t="s">
        <v>15</v>
      </c>
      <c r="D218" s="17" t="s">
        <v>24</v>
      </c>
      <c r="E218" s="17" t="s">
        <v>4305</v>
      </c>
      <c r="F218" s="16" t="s">
        <v>3979</v>
      </c>
      <c r="G218" s="18">
        <v>4</v>
      </c>
      <c r="H218" s="23" t="s">
        <v>4925</v>
      </c>
      <c r="I218" s="17"/>
    </row>
    <row r="219" spans="1:9" ht="15.9" hidden="1" customHeight="1">
      <c r="A219" s="6">
        <v>215</v>
      </c>
      <c r="B219" s="16" t="str">
        <f>HYPERLINK("https://www.cagp.ca/2020-ASM-program","2020 - Annual Scientific Meeting of the Canadian Academy of Geriatric Psychiatry")</f>
        <v>2020 - Annual Scientific Meeting of the Canadian Academy of Geriatric Psychiatry</v>
      </c>
      <c r="C219" s="24" t="s">
        <v>15</v>
      </c>
      <c r="D219" s="17" t="s">
        <v>24</v>
      </c>
      <c r="E219" s="17" t="s">
        <v>4305</v>
      </c>
      <c r="F219" s="16" t="s">
        <v>3980</v>
      </c>
      <c r="G219" s="18">
        <v>4</v>
      </c>
      <c r="H219" s="23" t="s">
        <v>4925</v>
      </c>
      <c r="I219" s="17"/>
    </row>
    <row r="220" spans="1:9" ht="15.9" hidden="1" customHeight="1">
      <c r="A220" s="6">
        <v>216</v>
      </c>
      <c r="B220" s="16" t="str">
        <f>HYPERLINK("https://can-acn.org/meeting-2024/program/","2024 - 17th Canadian Neuroscience Meeting")</f>
        <v>2024 - 17th Canadian Neuroscience Meeting</v>
      </c>
      <c r="C220" s="24" t="s">
        <v>15</v>
      </c>
      <c r="D220" s="17" t="s">
        <v>24</v>
      </c>
      <c r="E220" s="17" t="s">
        <v>3981</v>
      </c>
      <c r="F220" s="16" t="s">
        <v>3982</v>
      </c>
      <c r="G220" s="18">
        <v>8</v>
      </c>
      <c r="H220" s="23" t="s">
        <v>4925</v>
      </c>
      <c r="I220" s="17"/>
    </row>
    <row r="221" spans="1:9" ht="15.9" hidden="1" customHeight="1">
      <c r="A221" s="6">
        <v>217</v>
      </c>
      <c r="B221" s="16" t="str">
        <f>HYPERLINK("https://can-acn.org/meeting-2023/2023-program/","2023 - 16th Canadian Neuroscience Meeting")</f>
        <v>2023 - 16th Canadian Neuroscience Meeting</v>
      </c>
      <c r="C221" s="24" t="s">
        <v>15</v>
      </c>
      <c r="D221" s="17" t="s">
        <v>24</v>
      </c>
      <c r="E221" s="17" t="s">
        <v>3981</v>
      </c>
      <c r="F221" s="16" t="s">
        <v>3983</v>
      </c>
      <c r="G221" s="18">
        <v>8</v>
      </c>
      <c r="H221" s="23" t="s">
        <v>4925</v>
      </c>
      <c r="I221" s="17"/>
    </row>
    <row r="222" spans="1:9" ht="15.9" hidden="1" customHeight="1">
      <c r="A222" s="6">
        <v>218</v>
      </c>
      <c r="B222" s="16" t="str">
        <f>HYPERLINK("https://can-acn.org/meeting-2022/program-2022/","2022 - 15th Canadian Neuroscience Meeting")</f>
        <v>2022 - 15th Canadian Neuroscience Meeting</v>
      </c>
      <c r="C222" s="24" t="s">
        <v>15</v>
      </c>
      <c r="D222" s="17" t="s">
        <v>24</v>
      </c>
      <c r="E222" s="17" t="s">
        <v>3981</v>
      </c>
      <c r="F222" s="16" t="s">
        <v>3984</v>
      </c>
      <c r="G222" s="18">
        <v>8</v>
      </c>
      <c r="H222" s="23" t="s">
        <v>4925</v>
      </c>
      <c r="I222" s="17"/>
    </row>
    <row r="223" spans="1:9" ht="15.9" hidden="1" customHeight="1">
      <c r="A223" s="6">
        <v>219</v>
      </c>
      <c r="B223" s="16" t="str">
        <f>HYPERLINK("https://can-acn.org/meeting-2021/program-2021/","2021 - 14th Canadian Neuroscience Meeting")</f>
        <v>2021 - 14th Canadian Neuroscience Meeting</v>
      </c>
      <c r="C223" s="24" t="s">
        <v>15</v>
      </c>
      <c r="D223" s="17" t="s">
        <v>24</v>
      </c>
      <c r="E223" s="17" t="s">
        <v>3981</v>
      </c>
      <c r="F223" s="16" t="s">
        <v>3985</v>
      </c>
      <c r="G223" s="18">
        <v>8</v>
      </c>
      <c r="H223" s="23" t="s">
        <v>4925</v>
      </c>
      <c r="I223" s="17"/>
    </row>
    <row r="224" spans="1:9" ht="15.9" hidden="1" customHeight="1">
      <c r="A224" s="6">
        <v>220</v>
      </c>
      <c r="B224" s="16" t="str">
        <f>HYPERLINK("https://www.cag2024.ca/program","2024 - 53rd Annual Scientific and Educational Meeting of the Canadian Association on Gerontology")</f>
        <v>2024 - 53rd Annual Scientific and Educational Meeting of the Canadian Association on Gerontology</v>
      </c>
      <c r="C224" s="24" t="s">
        <v>15</v>
      </c>
      <c r="D224" s="17" t="s">
        <v>24</v>
      </c>
      <c r="E224" s="17" t="s">
        <v>4772</v>
      </c>
      <c r="F224" s="16" t="s">
        <v>4773</v>
      </c>
      <c r="G224" s="18">
        <v>9</v>
      </c>
      <c r="H224" s="23" t="s">
        <v>4925</v>
      </c>
      <c r="I224" s="17"/>
    </row>
    <row r="225" spans="1:9" ht="15.9" hidden="1" customHeight="1">
      <c r="A225" s="6">
        <v>221</v>
      </c>
      <c r="B225" s="16" t="str">
        <f>HYPERLINK("https://www.cag2023.ca/_files/ugd/efbed2_85512f2355ae4172aade4c226df30c1c.pdf","2023 - 52nd Annual Scientific &amp; Educational Meeting of the Canadian Association on Gerontology")</f>
        <v>2023 - 52nd Annual Scientific &amp; Educational Meeting of the Canadian Association on Gerontology</v>
      </c>
      <c r="C225" s="24" t="s">
        <v>15</v>
      </c>
      <c r="D225" s="17" t="s">
        <v>24</v>
      </c>
      <c r="E225" s="17" t="s">
        <v>4772</v>
      </c>
      <c r="F225" s="16" t="s">
        <v>4774</v>
      </c>
      <c r="G225" s="18">
        <v>9</v>
      </c>
      <c r="H225" s="23" t="s">
        <v>4925</v>
      </c>
      <c r="I225" s="17"/>
    </row>
    <row r="226" spans="1:9" ht="15.9" hidden="1" customHeight="1">
      <c r="A226" s="6">
        <v>222</v>
      </c>
      <c r="B226" s="16" t="str">
        <f>HYPERLINK("https://research.sehc.com/news-events/archive/2022/past-conferences","2022 - 51st Annual Scientific &amp; Educational Meeting of the Canadian Association on Gerontology")</f>
        <v>2022 - 51st Annual Scientific &amp; Educational Meeting of the Canadian Association on Gerontology</v>
      </c>
      <c r="C226" s="24" t="s">
        <v>15</v>
      </c>
      <c r="D226" s="17" t="s">
        <v>24</v>
      </c>
      <c r="E226" s="17" t="s">
        <v>4772</v>
      </c>
      <c r="F226" s="16" t="s">
        <v>4775</v>
      </c>
      <c r="G226" s="18">
        <v>9</v>
      </c>
      <c r="H226" s="23" t="s">
        <v>4925</v>
      </c>
      <c r="I226" s="17"/>
    </row>
    <row r="227" spans="1:9" ht="15.9" hidden="1" customHeight="1">
      <c r="A227" s="6">
        <v>223</v>
      </c>
      <c r="B227" s="16" t="str">
        <f>HYPERLINK("https://rehab.queensu.ca/blog/canadian-association-gerontology-conference-2021","2021 - 50th Annual Scientific &amp; Educational Meeting of the Canadian Association on Gerontology")</f>
        <v>2021 - 50th Annual Scientific &amp; Educational Meeting of the Canadian Association on Gerontology</v>
      </c>
      <c r="C227" s="24" t="s">
        <v>15</v>
      </c>
      <c r="D227" s="17" t="s">
        <v>24</v>
      </c>
      <c r="E227" s="17" t="s">
        <v>4772</v>
      </c>
      <c r="F227" s="16" t="s">
        <v>4776</v>
      </c>
      <c r="G227" s="18">
        <v>9</v>
      </c>
      <c r="H227" s="23" t="s">
        <v>4925</v>
      </c>
      <c r="I227" s="17"/>
    </row>
    <row r="228" spans="1:9" ht="15.9" hidden="1" customHeight="1">
      <c r="A228" s="6">
        <v>224</v>
      </c>
      <c r="B228" s="16" t="str">
        <f>HYPERLINK("https://cagacg.ca/asem/cag2020/","2020 - 49th Annual Scientific &amp; Educational Meeting of the Canadian Association on Gerontology")</f>
        <v>2020 - 49th Annual Scientific &amp; Educational Meeting of the Canadian Association on Gerontology</v>
      </c>
      <c r="C228" s="24" t="s">
        <v>15</v>
      </c>
      <c r="D228" s="17" t="s">
        <v>24</v>
      </c>
      <c r="E228" s="17" t="s">
        <v>4772</v>
      </c>
      <c r="F228" s="16" t="s">
        <v>4777</v>
      </c>
      <c r="G228" s="18">
        <v>9</v>
      </c>
      <c r="H228" s="23" t="s">
        <v>4925</v>
      </c>
      <c r="I228" s="17"/>
    </row>
    <row r="229" spans="1:9" ht="15.9" hidden="1" customHeight="1">
      <c r="A229" s="6">
        <v>225</v>
      </c>
      <c r="B229" s="16" t="str">
        <f>HYPERLINK("https://ccnp.ca/Meeting","2024 - 46th Annual Meeting Canadian College of Neuropsychopharmacology")</f>
        <v>2024 - 46th Annual Meeting Canadian College of Neuropsychopharmacology</v>
      </c>
      <c r="C229" s="24" t="s">
        <v>15</v>
      </c>
      <c r="D229" s="17" t="s">
        <v>24</v>
      </c>
      <c r="E229" s="17" t="s">
        <v>4457</v>
      </c>
      <c r="F229" s="16" t="s">
        <v>4778</v>
      </c>
      <c r="G229" s="18">
        <v>5</v>
      </c>
      <c r="H229" s="23" t="s">
        <v>4925</v>
      </c>
      <c r="I229" s="17"/>
    </row>
    <row r="230" spans="1:9" ht="15.9" hidden="1" customHeight="1">
      <c r="A230" s="6">
        <v>226</v>
      </c>
      <c r="B230" s="16" t="str">
        <f>HYPERLINK("https://ccnp.ca/Content/PDF/CCNP_Program_2023.pdf","2023 - 45th Annual Meeting Canadian College of Neuropsychopharmacology")</f>
        <v>2023 - 45th Annual Meeting Canadian College of Neuropsychopharmacology</v>
      </c>
      <c r="C230" s="24" t="s">
        <v>15</v>
      </c>
      <c r="D230" s="17" t="s">
        <v>24</v>
      </c>
      <c r="E230" s="17" t="s">
        <v>4457</v>
      </c>
      <c r="F230" s="16" t="s">
        <v>4779</v>
      </c>
      <c r="G230" s="18">
        <v>5</v>
      </c>
      <c r="H230" s="23" t="s">
        <v>4925</v>
      </c>
      <c r="I230" s="17"/>
    </row>
    <row r="231" spans="1:9" ht="15.9" hidden="1" customHeight="1">
      <c r="A231" s="6">
        <v>227</v>
      </c>
      <c r="B231" s="16" t="str">
        <f>HYPERLINK("https://ccnp.ca/Content/PDF/CCNP_Program_2022.pdf","2022 - 44th Annual Meeting Canadian College of Neuropsychopharmacology")</f>
        <v>2022 - 44th Annual Meeting Canadian College of Neuropsychopharmacology</v>
      </c>
      <c r="C231" s="24" t="s">
        <v>15</v>
      </c>
      <c r="D231" s="17" t="s">
        <v>24</v>
      </c>
      <c r="E231" s="17" t="s">
        <v>4457</v>
      </c>
      <c r="F231" s="16" t="s">
        <v>4780</v>
      </c>
      <c r="G231" s="18">
        <v>5</v>
      </c>
      <c r="H231" s="23" t="s">
        <v>4925</v>
      </c>
      <c r="I231" s="17"/>
    </row>
    <row r="232" spans="1:9" ht="15.9" hidden="1" customHeight="1">
      <c r="A232" s="6">
        <v>228</v>
      </c>
      <c r="B232" s="16" t="str">
        <f>HYPERLINK("https://www.jpn.ca/content/jpn/47/3_Suppl_1/S1.full.pdf","2021 - 43rd Annual Meeting Canadian College of Neuropsychopharmacology")</f>
        <v>2021 - 43rd Annual Meeting Canadian College of Neuropsychopharmacology</v>
      </c>
      <c r="C232" s="24" t="s">
        <v>15</v>
      </c>
      <c r="D232" s="17" t="s">
        <v>24</v>
      </c>
      <c r="E232" s="17" t="s">
        <v>4457</v>
      </c>
      <c r="F232" s="16" t="s">
        <v>4781</v>
      </c>
      <c r="G232" s="18">
        <v>5</v>
      </c>
      <c r="H232" s="23" t="s">
        <v>4925</v>
      </c>
      <c r="I232" s="17"/>
    </row>
    <row r="233" spans="1:9" ht="15.9" hidden="1" customHeight="1">
      <c r="A233" s="6">
        <v>229</v>
      </c>
      <c r="B233" s="16" t="str">
        <f>HYPERLINK("https://canadiangeriatrics.ca/2024-Program","2024 - 43rd Annual Scientific Meeting of Canadian Geriatrics Society")</f>
        <v>2024 - 43rd Annual Scientific Meeting of Canadian Geriatrics Society</v>
      </c>
      <c r="C233" s="24" t="s">
        <v>15</v>
      </c>
      <c r="D233" s="17" t="s">
        <v>24</v>
      </c>
      <c r="E233" s="17" t="s">
        <v>4911</v>
      </c>
      <c r="F233" s="16" t="s">
        <v>4912</v>
      </c>
      <c r="G233" s="18">
        <v>9</v>
      </c>
      <c r="H233" s="23" t="s">
        <v>4925</v>
      </c>
      <c r="I233" s="17"/>
    </row>
    <row r="234" spans="1:9" ht="15.9" hidden="1" customHeight="1">
      <c r="A234" s="6">
        <v>230</v>
      </c>
      <c r="B234" s="16" t="str">
        <f>HYPERLINK("https://canadiangeriatrics.ca/2023-Program","2023 - 42nd Annual Scientific Meeting of Canadian Geriatrics Society")</f>
        <v>2023 - 42nd Annual Scientific Meeting of Canadian Geriatrics Society</v>
      </c>
      <c r="C234" s="24" t="s">
        <v>15</v>
      </c>
      <c r="D234" s="17" t="s">
        <v>24</v>
      </c>
      <c r="E234" s="17" t="s">
        <v>4911</v>
      </c>
      <c r="F234" s="16" t="s">
        <v>4913</v>
      </c>
      <c r="G234" s="18">
        <v>9</v>
      </c>
      <c r="H234" s="23" t="s">
        <v>4925</v>
      </c>
      <c r="I234" s="17"/>
    </row>
    <row r="235" spans="1:9" ht="15.9" hidden="1" customHeight="1">
      <c r="A235" s="6">
        <v>231</v>
      </c>
      <c r="B235" s="16" t="str">
        <f>HYPERLINK("https://canadiangeriatrics.ca/2022-Program","2022 - 41st Virtual Annual Scientific Meeting of Canadian Geriatrics Society")</f>
        <v>2022 - 41st Virtual Annual Scientific Meeting of Canadian Geriatrics Society</v>
      </c>
      <c r="C235" s="24" t="s">
        <v>15</v>
      </c>
      <c r="D235" s="17" t="s">
        <v>24</v>
      </c>
      <c r="E235" s="17" t="s">
        <v>4911</v>
      </c>
      <c r="F235" s="16" t="s">
        <v>4914</v>
      </c>
      <c r="G235" s="18">
        <v>9</v>
      </c>
      <c r="H235" s="23" t="s">
        <v>4925</v>
      </c>
      <c r="I235" s="17"/>
    </row>
    <row r="236" spans="1:9" ht="15.9" hidden="1" customHeight="1">
      <c r="A236" s="6">
        <v>232</v>
      </c>
      <c r="B236" s="16" t="str">
        <f>HYPERLINK("https://static1.squarespace.com/static/6667327a01d03c100e178276/t/66a98090a8da76383215b6b6/1722384529051/CGS+2021+ASM+FULL+Program+Virtual.pdf","2021 - 40th Virtual Annual Scientific Meeting of Canadian Geriatrics Society")</f>
        <v>2021 - 40th Virtual Annual Scientific Meeting of Canadian Geriatrics Society</v>
      </c>
      <c r="C236" s="24" t="s">
        <v>15</v>
      </c>
      <c r="D236" s="17" t="s">
        <v>24</v>
      </c>
      <c r="E236" s="17" t="s">
        <v>4911</v>
      </c>
      <c r="F236" s="16" t="s">
        <v>5011</v>
      </c>
      <c r="G236" s="18">
        <v>9</v>
      </c>
      <c r="H236" s="23" t="s">
        <v>4925</v>
      </c>
      <c r="I236" s="17"/>
    </row>
    <row r="237" spans="1:9" ht="15.9" hidden="1" customHeight="1">
      <c r="A237" s="6">
        <v>233</v>
      </c>
      <c r="B237" s="16" t="str">
        <f>HYPERLINK("https://img1.wsimg.com/blobby/go/2d74e754-926e-4a9b-9930-464ce35de946/downloads/CGNA2023_Program_18-04-2023.pdf?ver=1714519965634","2023 - 22nd Biennial Conference of the Canadian Gerontological Nursing Association")</f>
        <v>2023 - 22nd Biennial Conference of the Canadian Gerontological Nursing Association</v>
      </c>
      <c r="C237" s="24" t="s">
        <v>15</v>
      </c>
      <c r="D237" s="17" t="s">
        <v>24</v>
      </c>
      <c r="E237" s="17" t="s">
        <v>4782</v>
      </c>
      <c r="F237" s="16" t="s">
        <v>4783</v>
      </c>
      <c r="G237" s="18">
        <v>9</v>
      </c>
      <c r="H237" s="23" t="s">
        <v>4925</v>
      </c>
      <c r="I237" s="17"/>
    </row>
    <row r="238" spans="1:9" ht="15.9" hidden="1" customHeight="1">
      <c r="A238" s="6">
        <v>234</v>
      </c>
      <c r="B238" s="16" t="str">
        <f>HYPERLINK("https://chapters-igs.rnao.ca/sites/default/files/2020-05/CGNA2021_Prospectus.pdf","2021 - 21st Biennial Conference of the Canadian Gerontological Nursing Association")</f>
        <v>2021 - 21st Biennial Conference of the Canadian Gerontological Nursing Association</v>
      </c>
      <c r="C238" s="24" t="s">
        <v>15</v>
      </c>
      <c r="D238" s="17" t="s">
        <v>24</v>
      </c>
      <c r="E238" s="17" t="s">
        <v>4782</v>
      </c>
      <c r="F238" s="16" t="s">
        <v>4784</v>
      </c>
      <c r="G238" s="18">
        <v>9</v>
      </c>
      <c r="H238" s="23" t="s">
        <v>4925</v>
      </c>
      <c r="I238" s="17"/>
    </row>
    <row r="239" spans="1:9" ht="15.9" hidden="1" customHeight="1">
      <c r="A239" s="6">
        <v>235</v>
      </c>
      <c r="B239" s="16" t="str">
        <f>HYPERLINK("https://2024cnsfcongress.eventscribe.net/SearchByBucket.asp?f=CustomPresfield4&amp;bm=Scientific%20Session&amp;pfp=BrowsebyBucket","2024 - Canadian Neurological Sciences Federation Congress")</f>
        <v>2024 - Canadian Neurological Sciences Federation Congress</v>
      </c>
      <c r="C239" s="24" t="s">
        <v>15</v>
      </c>
      <c r="D239" s="17" t="s">
        <v>24</v>
      </c>
      <c r="E239" s="17" t="s">
        <v>3986</v>
      </c>
      <c r="F239" s="16" t="s">
        <v>3987</v>
      </c>
      <c r="G239" s="18">
        <v>8</v>
      </c>
      <c r="H239" s="23" t="s">
        <v>4925</v>
      </c>
      <c r="I239" s="17"/>
    </row>
    <row r="240" spans="1:9" ht="15.9" hidden="1" customHeight="1">
      <c r="A240" s="6">
        <v>236</v>
      </c>
      <c r="B240" s="16" t="str">
        <f>HYPERLINK("https://eventscribe.net/2023/cnsfcongress/SearchByBucket.asp?f=CustomPresfield4&amp;bm=Scientific%20Session&amp;pfp=BrowsebyBucket","2023 - Canadian Neurological Sciences Federation Congress")</f>
        <v>2023 - Canadian Neurological Sciences Federation Congress</v>
      </c>
      <c r="C240" s="24" t="s">
        <v>15</v>
      </c>
      <c r="D240" s="17" t="s">
        <v>24</v>
      </c>
      <c r="E240" s="17" t="s">
        <v>3986</v>
      </c>
      <c r="F240" s="16" t="s">
        <v>3988</v>
      </c>
      <c r="G240" s="18">
        <v>8</v>
      </c>
      <c r="H240" s="23" t="s">
        <v>4925</v>
      </c>
      <c r="I240" s="17"/>
    </row>
    <row r="241" spans="1:9" ht="15.9" hidden="1" customHeight="1">
      <c r="A241" s="6">
        <v>237</v>
      </c>
      <c r="B241" s="16" t="str">
        <f>HYPERLINK("https://neuromuscularnetwork.ca/event/2022-cnsf-congress/","2022 - Canadian Neurological Sciences Federation Congress")</f>
        <v>2022 - Canadian Neurological Sciences Federation Congress</v>
      </c>
      <c r="C241" s="24" t="s">
        <v>15</v>
      </c>
      <c r="D241" s="17" t="s">
        <v>24</v>
      </c>
      <c r="E241" s="17" t="s">
        <v>3986</v>
      </c>
      <c r="F241" s="16" t="s">
        <v>3989</v>
      </c>
      <c r="G241" s="18">
        <v>8</v>
      </c>
      <c r="H241" s="23" t="s">
        <v>4925</v>
      </c>
      <c r="I241" s="17"/>
    </row>
    <row r="242" spans="1:9" ht="15.9" hidden="1" customHeight="1">
      <c r="A242" s="6">
        <v>238</v>
      </c>
      <c r="B242" s="16" t="str">
        <f>HYPERLINK("https://www.cpa-apc.org/schedule/","2024 - 74th Annual Conference on Canadian Psychiatric Association")</f>
        <v>2024 - 74th Annual Conference on Canadian Psychiatric Association</v>
      </c>
      <c r="C242" s="24" t="s">
        <v>15</v>
      </c>
      <c r="D242" s="17" t="s">
        <v>24</v>
      </c>
      <c r="E242" s="17" t="s">
        <v>383</v>
      </c>
      <c r="F242" s="16" t="s">
        <v>3990</v>
      </c>
      <c r="G242" s="18">
        <v>4</v>
      </c>
      <c r="H242" s="23" t="s">
        <v>4925</v>
      </c>
      <c r="I242" s="17"/>
    </row>
    <row r="243" spans="1:9" ht="15.9" hidden="1" customHeight="1">
      <c r="A243" s="6">
        <v>239</v>
      </c>
      <c r="B243" s="16" t="str">
        <f>HYPERLINK("https://www.cpa-apc.org/cpa-virtual-conference-october-23-24-2020/#program","2020 - 73rd Annual Conference on Canadian Psychiatric Association")</f>
        <v>2020 - 73rd Annual Conference on Canadian Psychiatric Association</v>
      </c>
      <c r="C243" s="24" t="s">
        <v>15</v>
      </c>
      <c r="D243" s="17" t="s">
        <v>24</v>
      </c>
      <c r="E243" s="17" t="s">
        <v>383</v>
      </c>
      <c r="F243" s="16" t="s">
        <v>3991</v>
      </c>
      <c r="G243" s="18">
        <v>4</v>
      </c>
      <c r="H243" s="23" t="s">
        <v>4925</v>
      </c>
      <c r="I243" s="17"/>
    </row>
    <row r="244" spans="1:9" ht="15.9" hidden="1" customHeight="1">
      <c r="A244" s="6">
        <v>240</v>
      </c>
      <c r="B244" s="16" t="str">
        <f>HYPERLINK("https://cpa.ca/docs/File/Convention/2024/CPA%202024%20Event%20-%20Convention%20Guide_WEB.pdf","2024 - 85th Annual National Convention of Canadian Psychological Association")</f>
        <v>2024 - 85th Annual National Convention of Canadian Psychological Association</v>
      </c>
      <c r="C244" s="24" t="s">
        <v>15</v>
      </c>
      <c r="D244" s="17" t="s">
        <v>24</v>
      </c>
      <c r="E244" s="17" t="s">
        <v>3966</v>
      </c>
      <c r="F244" s="16" t="s">
        <v>3967</v>
      </c>
      <c r="G244" s="18">
        <v>5</v>
      </c>
      <c r="H244" s="23" t="s">
        <v>4925</v>
      </c>
      <c r="I244" s="17"/>
    </row>
    <row r="245" spans="1:9" ht="15.9" hidden="1" customHeight="1">
      <c r="A245" s="6">
        <v>241</v>
      </c>
      <c r="B245" s="16" t="str">
        <f>HYPERLINK("https://cpa.ca/docs/File/Convention/2023/CPA%20Event%20Convention%20Guide%202023_FINAL.pdf","2023 - 84th Annual National Convention of Canadian Psychological Association")</f>
        <v>2023 - 84th Annual National Convention of Canadian Psychological Association</v>
      </c>
      <c r="C245" s="24" t="s">
        <v>15</v>
      </c>
      <c r="D245" s="17" t="s">
        <v>24</v>
      </c>
      <c r="E245" s="17" t="s">
        <v>3966</v>
      </c>
      <c r="F245" s="16" t="s">
        <v>3968</v>
      </c>
      <c r="G245" s="18">
        <v>5</v>
      </c>
      <c r="H245" s="23" t="s">
        <v>4925</v>
      </c>
      <c r="I245" s="17"/>
    </row>
    <row r="246" spans="1:9" ht="15.9" hidden="1" customHeight="1">
      <c r="A246" s="6">
        <v>242</v>
      </c>
      <c r="B246" s="16" t="str">
        <f>HYPERLINK("https://cpa.ca/docs/File/Convention/2022/CPA%20Convention%20Guide%202022_FINAL.pdf","2022 - 83rd Annual National Convention of Canadian Psychological Association")</f>
        <v>2022 - 83rd Annual National Convention of Canadian Psychological Association</v>
      </c>
      <c r="C246" s="24" t="s">
        <v>15</v>
      </c>
      <c r="D246" s="17" t="s">
        <v>24</v>
      </c>
      <c r="E246" s="17" t="s">
        <v>3966</v>
      </c>
      <c r="F246" s="16" t="s">
        <v>3969</v>
      </c>
      <c r="G246" s="18">
        <v>5</v>
      </c>
      <c r="H246" s="23" t="s">
        <v>4925</v>
      </c>
      <c r="I246" s="17"/>
    </row>
    <row r="247" spans="1:9" ht="15.9" hidden="1" customHeight="1">
      <c r="A247" s="6">
        <v>243</v>
      </c>
      <c r="B247" s="16" t="str">
        <f>HYPERLINK("https://cpa.ca/docs/File/Convention/2021/CPA%202021%20Annual%20National%20Convention%20Prospectus.pdf","2021 - 82nd Annual National Convention of Canadian Psychological Association")</f>
        <v>2021 - 82nd Annual National Convention of Canadian Psychological Association</v>
      </c>
      <c r="C247" s="24" t="s">
        <v>15</v>
      </c>
      <c r="D247" s="17" t="s">
        <v>24</v>
      </c>
      <c r="E247" s="17" t="s">
        <v>3966</v>
      </c>
      <c r="F247" s="16" t="s">
        <v>3970</v>
      </c>
      <c r="G247" s="18">
        <v>5</v>
      </c>
      <c r="H247" s="23" t="s">
        <v>4925</v>
      </c>
      <c r="I247" s="17"/>
    </row>
    <row r="248" spans="1:9" ht="15.9" hidden="1" customHeight="1">
      <c r="A248" s="6">
        <v>244</v>
      </c>
      <c r="B248" s="16" t="str">
        <f>HYPERLINK("https://sf3pa-congres.com/wp-content/uploads/2024/05/WEB_EXE_20240530_programme_A5_page.pdf","2024 - 5th Congress on Francophone Society of Psychogeriatrics and Psychiatry of the Elderly")</f>
        <v>2024 - 5th Congress on Francophone Society of Psychogeriatrics and Psychiatry of the Elderly</v>
      </c>
      <c r="C248" s="24" t="s">
        <v>15</v>
      </c>
      <c r="D248" s="17" t="s">
        <v>292</v>
      </c>
      <c r="E248" s="17" t="s">
        <v>4785</v>
      </c>
      <c r="F248" s="16" t="s">
        <v>4786</v>
      </c>
      <c r="G248" s="18">
        <v>5</v>
      </c>
      <c r="H248" s="23" t="s">
        <v>4925</v>
      </c>
      <c r="I248" s="17"/>
    </row>
    <row r="249" spans="1:9" ht="15.9" hidden="1" customHeight="1">
      <c r="A249" s="6">
        <v>245</v>
      </c>
      <c r="B249" s="16" t="str">
        <f>HYPERLINK("https://sf3pa-congres.com/wp-content/uploads/2023/04/SF3PA2023Programme.pdf","2023 - 4th Congress on Francophone Society of Psychogeriatrics and Psychiatry of the Elderly")</f>
        <v>2023 - 4th Congress on Francophone Society of Psychogeriatrics and Psychiatry of the Elderly</v>
      </c>
      <c r="C249" s="24" t="s">
        <v>15</v>
      </c>
      <c r="D249" s="17" t="s">
        <v>292</v>
      </c>
      <c r="E249" s="17" t="s">
        <v>4785</v>
      </c>
      <c r="F249" s="16" t="s">
        <v>4787</v>
      </c>
      <c r="G249" s="18">
        <v>5</v>
      </c>
      <c r="H249" s="23" t="s">
        <v>4925</v>
      </c>
      <c r="I249" s="17"/>
    </row>
    <row r="250" spans="1:9" ht="15.9" hidden="1" customHeight="1">
      <c r="A250" s="6">
        <v>246</v>
      </c>
      <c r="B250" s="16" t="str">
        <f>HYPERLINK("https://sf3pa-congres.com/wp-content/uploads/2021/08/SF3PA2021_Prog_Brest.pdf","2021 - 3rd Congress on Francophone Society of Psychogeriatrics and Psychiatry of the Elderly")</f>
        <v>2021 - 3rd Congress on Francophone Society of Psychogeriatrics and Psychiatry of the Elderly</v>
      </c>
      <c r="C250" s="24" t="s">
        <v>15</v>
      </c>
      <c r="D250" s="17" t="s">
        <v>292</v>
      </c>
      <c r="E250" s="17" t="s">
        <v>4785</v>
      </c>
      <c r="F250" s="16" t="s">
        <v>4788</v>
      </c>
      <c r="G250" s="18">
        <v>5</v>
      </c>
      <c r="H250" s="23" t="s">
        <v>4925</v>
      </c>
      <c r="I250" s="17"/>
    </row>
    <row r="251" spans="1:9" ht="15.9" hidden="1" customHeight="1">
      <c r="A251" s="6">
        <v>247</v>
      </c>
      <c r="B251" s="16" t="str">
        <f>HYPERLINK("https://fedepsychiatrie.fr/wp-content/uploads/2023/04/Fedepsy-Programme-Bulletin-25mai2023-V11.pdf","2023 - 5th French Federation of Psychiatry Day")</f>
        <v>2023 - 5th French Federation of Psychiatry Day</v>
      </c>
      <c r="C251" s="24" t="s">
        <v>15</v>
      </c>
      <c r="D251" s="17" t="s">
        <v>292</v>
      </c>
      <c r="E251" s="17" t="s">
        <v>3992</v>
      </c>
      <c r="F251" s="16" t="s">
        <v>3993</v>
      </c>
      <c r="G251" s="18">
        <v>4</v>
      </c>
      <c r="H251" s="23" t="s">
        <v>4925</v>
      </c>
      <c r="I251" s="17"/>
    </row>
    <row r="252" spans="1:9" ht="15.9" hidden="1" customHeight="1">
      <c r="A252" s="6">
        <v>248</v>
      </c>
      <c r="B252" s="16" t="str">
        <f>HYPERLINK("https://www.affep.fr/4e-journees-de-psychiatrie-adulte-de-la-federation-francaise-de-psychiatrie/","2022 - 4th French Federation of Psychiatry Day")</f>
        <v>2022 - 4th French Federation of Psychiatry Day</v>
      </c>
      <c r="C252" s="24" t="s">
        <v>15</v>
      </c>
      <c r="D252" s="17" t="s">
        <v>292</v>
      </c>
      <c r="E252" s="17" t="s">
        <v>3992</v>
      </c>
      <c r="F252" s="16" t="s">
        <v>3994</v>
      </c>
      <c r="G252" s="18">
        <v>4</v>
      </c>
      <c r="H252" s="23" t="s">
        <v>4925</v>
      </c>
      <c r="I252" s="17"/>
    </row>
    <row r="253" spans="1:9" ht="15.9" hidden="1" customHeight="1">
      <c r="A253" s="6">
        <v>249</v>
      </c>
      <c r="B253" s="16" t="str">
        <f>HYPERLINK("https://fedepsychiatrie.fr/wp-content/uploads/2021/02/Programme3e%CC%80mejourne%CC%81ePsyAdulte2021V9-2.pdf","2021 - 3rd French Federation of Psychiatry Day")</f>
        <v>2021 - 3rd French Federation of Psychiatry Day</v>
      </c>
      <c r="C253" s="24" t="s">
        <v>15</v>
      </c>
      <c r="D253" s="17" t="s">
        <v>292</v>
      </c>
      <c r="E253" s="17" t="s">
        <v>3992</v>
      </c>
      <c r="F253" s="16" t="s">
        <v>3995</v>
      </c>
      <c r="G253" s="18">
        <v>4</v>
      </c>
      <c r="H253" s="23" t="s">
        <v>4925</v>
      </c>
      <c r="I253" s="17"/>
    </row>
    <row r="254" spans="1:9" ht="15.9" hidden="1" customHeight="1">
      <c r="A254" s="6">
        <v>250</v>
      </c>
      <c r="B254" s="16" t="str">
        <f>HYPERLINK("https://congres.sfpeada.fr/page/journees","2024 - Annual Congress of French Society of Child and Adolescent Psychiatry (SFPEADA)")</f>
        <v>2024 - Annual Congress of French Society of Child and Adolescent Psychiatry (SFPEADA)</v>
      </c>
      <c r="C254" s="24" t="s">
        <v>15</v>
      </c>
      <c r="D254" s="17" t="s">
        <v>292</v>
      </c>
      <c r="E254" s="17" t="s">
        <v>3996</v>
      </c>
      <c r="F254" s="16" t="s">
        <v>3997</v>
      </c>
      <c r="G254" s="18">
        <v>4</v>
      </c>
      <c r="H254" s="23" t="s">
        <v>4925</v>
      </c>
      <c r="I254" s="17"/>
    </row>
    <row r="255" spans="1:9" ht="15.9" hidden="1" customHeight="1">
      <c r="A255" s="6">
        <v>251</v>
      </c>
      <c r="B255" s="16" t="str">
        <f>HYPERLINK("https://sfpeada.fr/congres-sfpeada-2023-toutes-les-informations/","2023 - Annual Congress of French Society of Child and Adolescent Psychiatry (SFPEADA)")</f>
        <v>2023 - Annual Congress of French Society of Child and Adolescent Psychiatry (SFPEADA)</v>
      </c>
      <c r="C255" s="24" t="s">
        <v>15</v>
      </c>
      <c r="D255" s="17" t="s">
        <v>292</v>
      </c>
      <c r="E255" s="17" t="s">
        <v>3996</v>
      </c>
      <c r="F255" s="16" t="s">
        <v>3998</v>
      </c>
      <c r="G255" s="18">
        <v>4</v>
      </c>
      <c r="H255" s="23" t="s">
        <v>4925</v>
      </c>
      <c r="I255" s="17"/>
    </row>
    <row r="256" spans="1:9" ht="15.9" hidden="1" customHeight="1">
      <c r="A256" s="6">
        <v>252</v>
      </c>
      <c r="B256" s="16" t="str">
        <f>HYPERLINK("https://sfpeada.fr/congres-de-la-sfpeada-2022/","2022 - Annual Congress of French Society of Child and Adolescent Psychiatry (SFPEADA)")</f>
        <v>2022 - Annual Congress of French Society of Child and Adolescent Psychiatry (SFPEADA)</v>
      </c>
      <c r="C256" s="24" t="s">
        <v>15</v>
      </c>
      <c r="D256" s="17" t="s">
        <v>292</v>
      </c>
      <c r="E256" s="17" t="s">
        <v>3996</v>
      </c>
      <c r="F256" s="16" t="s">
        <v>3999</v>
      </c>
      <c r="G256" s="18">
        <v>4</v>
      </c>
      <c r="H256" s="23" t="s">
        <v>4925</v>
      </c>
      <c r="I256" s="17"/>
    </row>
    <row r="257" spans="1:9" ht="15.9" hidden="1" customHeight="1">
      <c r="A257" s="6">
        <v>253</v>
      </c>
      <c r="B257" s="16" t="str">
        <f>HYPERLINK("https://sfgg2024.process.y-congress.com/ScientificProcess/Data/13/538/print/JASFGG2024-fr.pdf","2024 - 44th Annual Meeting of the French Society of Geriatrics and Gerontology")</f>
        <v>2024 - 44th Annual Meeting of the French Society of Geriatrics and Gerontology</v>
      </c>
      <c r="C257" s="24" t="s">
        <v>15</v>
      </c>
      <c r="D257" s="17" t="s">
        <v>292</v>
      </c>
      <c r="E257" s="17" t="s">
        <v>4789</v>
      </c>
      <c r="F257" s="16" t="s">
        <v>4790</v>
      </c>
      <c r="G257" s="18">
        <v>9</v>
      </c>
      <c r="H257" s="23" t="s">
        <v>4925</v>
      </c>
      <c r="I257" s="17"/>
    </row>
    <row r="258" spans="1:9" ht="15.9" hidden="1" customHeight="1">
      <c r="A258" s="6">
        <v>254</v>
      </c>
      <c r="B258" s="16" t="str">
        <f>HYPERLINK("https://sfgg2023.process.y-congress.com/ScientificProcess/schedule/?setLng=en","2023 - 43rd Annual Meeting of the French Society of Geriatrics and Gerontology")</f>
        <v>2023 - 43rd Annual Meeting of the French Society of Geriatrics and Gerontology</v>
      </c>
      <c r="C258" s="24" t="s">
        <v>15</v>
      </c>
      <c r="D258" s="17" t="s">
        <v>292</v>
      </c>
      <c r="E258" s="17" t="s">
        <v>4789</v>
      </c>
      <c r="F258" s="16" t="s">
        <v>4791</v>
      </c>
      <c r="G258" s="18">
        <v>9</v>
      </c>
      <c r="H258" s="23" t="s">
        <v>4925</v>
      </c>
      <c r="I258" s="17"/>
    </row>
    <row r="259" spans="1:9" ht="15.9" hidden="1" customHeight="1">
      <c r="A259" s="6">
        <v>255</v>
      </c>
      <c r="B259" s="16" t="str">
        <f>HYPERLINK("https://sfgg2022.process.y-congress.com/ScientificProcess/Data/13/306/print/JASFGG2022-fr.pdf","2022 - 42nd Annual Meeting of the French Society of Geriatrics and Gerontology")</f>
        <v>2022 - 42nd Annual Meeting of the French Society of Geriatrics and Gerontology</v>
      </c>
      <c r="C259" s="24" t="s">
        <v>15</v>
      </c>
      <c r="D259" s="17" t="s">
        <v>292</v>
      </c>
      <c r="E259" s="17" t="s">
        <v>4789</v>
      </c>
      <c r="F259" s="16" t="s">
        <v>4792</v>
      </c>
      <c r="G259" s="18">
        <v>9</v>
      </c>
      <c r="H259" s="23" t="s">
        <v>4925</v>
      </c>
      <c r="I259" s="17"/>
    </row>
    <row r="260" spans="1:9" ht="15.9" hidden="1" customHeight="1">
      <c r="A260" s="6">
        <v>256</v>
      </c>
      <c r="B260" s="16" t="str">
        <f>HYPERLINK("https://sfgg2021.process.y-congress.com/ScientificProcess/schedule/?setLng=en","2021 - 41st Annual Meeting of the French Society of Geriatrics and Gerontology")</f>
        <v>2021 - 41st Annual Meeting of the French Society of Geriatrics and Gerontology</v>
      </c>
      <c r="C260" s="24" t="s">
        <v>15</v>
      </c>
      <c r="D260" s="17" t="s">
        <v>292</v>
      </c>
      <c r="E260" s="17" t="s">
        <v>4789</v>
      </c>
      <c r="F260" s="16" t="s">
        <v>4793</v>
      </c>
      <c r="G260" s="18">
        <v>9</v>
      </c>
      <c r="H260" s="23" t="s">
        <v>4925</v>
      </c>
      <c r="I260" s="17"/>
    </row>
    <row r="261" spans="1:9" ht="15.9" hidden="1" customHeight="1">
      <c r="A261" s="6">
        <v>257</v>
      </c>
      <c r="B261" s="16" t="str">
        <f>HYPERLINK("https://sfgg2020.process.y-congress.com/ScientificProcess/Schedule/?setLng=en","2020 - 40th Annual Meeting of the French Society of Geriatrics and Gerontology")</f>
        <v>2020 - 40th Annual Meeting of the French Society of Geriatrics and Gerontology</v>
      </c>
      <c r="C261" s="24" t="s">
        <v>15</v>
      </c>
      <c r="D261" s="17" t="s">
        <v>292</v>
      </c>
      <c r="E261" s="17" t="s">
        <v>4789</v>
      </c>
      <c r="F261" s="16" t="s">
        <v>4794</v>
      </c>
      <c r="G261" s="18">
        <v>9</v>
      </c>
      <c r="H261" s="23" t="s">
        <v>4925</v>
      </c>
      <c r="I261" s="17"/>
    </row>
    <row r="262" spans="1:9" ht="15.9" hidden="1" customHeight="1">
      <c r="A262" s="6">
        <v>258</v>
      </c>
      <c r="B262" s="16" t="str">
        <f>HYPERLINK("https://psichiatria.it/evento/xxvii-congresso-nazionale-di-psichiatria-forense/","2024 - XXVII National Congress of the Italian Society of Forensic Psychiatry")</f>
        <v>2024 - XXVII National Congress of the Italian Society of Forensic Psychiatry</v>
      </c>
      <c r="C262" s="24" t="s">
        <v>15</v>
      </c>
      <c r="D262" s="17" t="s">
        <v>292</v>
      </c>
      <c r="E262" s="17" t="s">
        <v>4000</v>
      </c>
      <c r="F262" s="16" t="s">
        <v>4001</v>
      </c>
      <c r="G262" s="18">
        <v>4</v>
      </c>
      <c r="H262" s="23" t="s">
        <v>4925</v>
      </c>
      <c r="I262" s="17"/>
    </row>
    <row r="263" spans="1:9" ht="15.9" hidden="1" customHeight="1">
      <c r="A263" s="6">
        <v>259</v>
      </c>
      <c r="B263" s="16" t="str">
        <f>HYPERLINK("https://web.unica.it/unica/protected/409792/0/def/ref/AVS409791/","2023 - XXVI National Congress of the Italian Society of Forensic Psychiatry")</f>
        <v>2023 - XXVI National Congress of the Italian Society of Forensic Psychiatry</v>
      </c>
      <c r="C263" s="24" t="s">
        <v>15</v>
      </c>
      <c r="D263" s="17" t="s">
        <v>292</v>
      </c>
      <c r="E263" s="17" t="s">
        <v>4000</v>
      </c>
      <c r="F263" s="16" t="s">
        <v>4002</v>
      </c>
      <c r="G263" s="18">
        <v>4</v>
      </c>
      <c r="H263" s="23" t="s">
        <v>4925</v>
      </c>
      <c r="I263" s="17"/>
    </row>
    <row r="264" spans="1:9" ht="15.9" hidden="1" customHeight="1">
      <c r="A264" s="6">
        <v>260</v>
      </c>
      <c r="B264" s="16" t="str">
        <f>HYPERLINK("https://sipforense.it/wp-content/uploads/2024/02/PROGRAMMA-SIPF_2022.pdf","2022 - XXV National Congress of the Italian Society of Forensic Psychiatry")</f>
        <v>2022 - XXV National Congress of the Italian Society of Forensic Psychiatry</v>
      </c>
      <c r="C264" s="24" t="s">
        <v>15</v>
      </c>
      <c r="D264" s="17" t="s">
        <v>292</v>
      </c>
      <c r="E264" s="17" t="s">
        <v>4000</v>
      </c>
      <c r="F264" s="16" t="s">
        <v>4003</v>
      </c>
      <c r="G264" s="18">
        <v>4</v>
      </c>
      <c r="H264" s="23" t="s">
        <v>4925</v>
      </c>
      <c r="I264" s="17"/>
    </row>
    <row r="265" spans="1:9" ht="15.9" hidden="1" customHeight="1">
      <c r="A265" s="6">
        <v>261</v>
      </c>
      <c r="B265" s="16" t="str">
        <f>HYPERLINK("https://psichiatria.it/evento/49-congresso-nazionale-sip/","2022 - 49th National Congress of Italian Society of Psychiatry (SIP)")</f>
        <v>2022 - 49th National Congress of Italian Society of Psychiatry (SIP)</v>
      </c>
      <c r="C265" s="24" t="s">
        <v>15</v>
      </c>
      <c r="D265" s="17" t="s">
        <v>292</v>
      </c>
      <c r="E265" s="17" t="s">
        <v>4000</v>
      </c>
      <c r="F265" s="16" t="s">
        <v>4004</v>
      </c>
      <c r="G265" s="18">
        <v>4</v>
      </c>
      <c r="H265" s="23" t="s">
        <v>4925</v>
      </c>
      <c r="I265" s="17"/>
    </row>
    <row r="266" spans="1:9" ht="15.9" hidden="1" customHeight="1">
      <c r="A266" s="6">
        <v>262</v>
      </c>
      <c r="B266" s="16" t="str">
        <f>HYPERLINK("https://www.aousassari.it/documenti/11_45_20210521115617.pdf","2021 - XXIV National Congress of the Italian Society of Forensic Psychiatry")</f>
        <v>2021 - XXIV National Congress of the Italian Society of Forensic Psychiatry</v>
      </c>
      <c r="C266" s="24" t="s">
        <v>15</v>
      </c>
      <c r="D266" s="17" t="s">
        <v>292</v>
      </c>
      <c r="E266" s="17" t="s">
        <v>4000</v>
      </c>
      <c r="F266" s="16" t="s">
        <v>4005</v>
      </c>
      <c r="G266" s="18">
        <v>4</v>
      </c>
      <c r="H266" s="23" t="s">
        <v>4925</v>
      </c>
      <c r="I266" s="17"/>
    </row>
    <row r="267" spans="1:9" ht="15.9" hidden="1" customHeight="1">
      <c r="A267" s="6">
        <v>263</v>
      </c>
      <c r="B267" s="16" t="str">
        <f>HYPERLINK("https://sipforense.it/wp-content/uploads/2024/02/Programma-SIPF-2020.pdf","2020 - XXIII National Congress of the Italian Society of Forensic Psychiatry")</f>
        <v>2020 - XXIII National Congress of the Italian Society of Forensic Psychiatry</v>
      </c>
      <c r="C267" s="24" t="s">
        <v>15</v>
      </c>
      <c r="D267" s="17" t="s">
        <v>292</v>
      </c>
      <c r="E267" s="17" t="s">
        <v>4000</v>
      </c>
      <c r="F267" s="16" t="s">
        <v>4006</v>
      </c>
      <c r="G267" s="18">
        <v>4</v>
      </c>
      <c r="H267" s="23" t="s">
        <v>4925</v>
      </c>
      <c r="I267" s="17"/>
    </row>
    <row r="268" spans="1:9" ht="15.9" hidden="1" customHeight="1">
      <c r="A268" s="6">
        <v>264</v>
      </c>
      <c r="B268" s="16" t="str">
        <f>HYPERLINK("https://profamille.site/congres-annuel-profamille-a-nice/","2023 - Annual Profamille Congress in Nice")</f>
        <v>2023 - Annual Profamille Congress in Nice</v>
      </c>
      <c r="C268" s="24" t="s">
        <v>15</v>
      </c>
      <c r="D268" s="17" t="s">
        <v>292</v>
      </c>
      <c r="E268" s="17" t="s">
        <v>4007</v>
      </c>
      <c r="F268" s="16" t="s">
        <v>4008</v>
      </c>
      <c r="G268" s="18">
        <v>8</v>
      </c>
      <c r="H268" s="23" t="s">
        <v>4925</v>
      </c>
      <c r="I268" s="17"/>
    </row>
    <row r="269" spans="1:9" ht="15.9" hidden="1" customHeight="1">
      <c r="A269" s="6">
        <v>265</v>
      </c>
      <c r="B269" s="16" t="str">
        <f>HYPERLINK("https://www.dgppnkongress.de/dgppn/dgppn2024/de-DE/search","2024 - National Congress on German Association for Psychiatry, Psychotherapy and Psychosomatics")</f>
        <v>2024 - National Congress on German Association for Psychiatry, Psychotherapy and Psychosomatics</v>
      </c>
      <c r="C269" s="24" t="s">
        <v>15</v>
      </c>
      <c r="D269" s="17" t="s">
        <v>295</v>
      </c>
      <c r="E269" s="17" t="s">
        <v>495</v>
      </c>
      <c r="F269" s="16" t="s">
        <v>4012</v>
      </c>
      <c r="G269" s="18">
        <v>4</v>
      </c>
      <c r="H269" s="23" t="s">
        <v>4925</v>
      </c>
      <c r="I269" s="17"/>
    </row>
    <row r="270" spans="1:9" ht="15.9" hidden="1" customHeight="1">
      <c r="A270" s="6">
        <v>266</v>
      </c>
      <c r="B270" s="16" t="str">
        <f>HYPERLINK("https://www.dgkjp-kongress.de/programm/online-programm.html","2024 - 38th Congress on German Society for Child and Adolescent Psychiatry, Psychosomatics and Psychotherapy")</f>
        <v>2024 - 38th Congress on German Society for Child and Adolescent Psychiatry, Psychosomatics and Psychotherapy</v>
      </c>
      <c r="C270" s="24" t="s">
        <v>15</v>
      </c>
      <c r="D270" s="17" t="s">
        <v>295</v>
      </c>
      <c r="E270" s="17" t="s">
        <v>4013</v>
      </c>
      <c r="F270" s="16" t="s">
        <v>4014</v>
      </c>
      <c r="G270" s="18">
        <v>4</v>
      </c>
      <c r="H270" s="23" t="s">
        <v>4925</v>
      </c>
      <c r="I270" s="17"/>
    </row>
    <row r="271" spans="1:9" ht="15.9" hidden="1" customHeight="1">
      <c r="A271" s="6">
        <v>267</v>
      </c>
      <c r="B271" s="16" t="str">
        <f>HYPERLINK("https://www.dgkjp-kongress.de/_Resources/Persistent/79e939c91d8459e5b103bfcf23fb99df2f96e7c5/FlippingBook.pdf","2022 - 37th Congress on German Society for Child and Adolescent Psychiatry, Psychosomatics and Psychotherapy")</f>
        <v>2022 - 37th Congress on German Society for Child and Adolescent Psychiatry, Psychosomatics and Psychotherapy</v>
      </c>
      <c r="C271" s="24" t="s">
        <v>15</v>
      </c>
      <c r="D271" s="17" t="s">
        <v>295</v>
      </c>
      <c r="E271" s="17" t="s">
        <v>4013</v>
      </c>
      <c r="F271" s="16" t="s">
        <v>4015</v>
      </c>
      <c r="G271" s="18">
        <v>4</v>
      </c>
      <c r="H271" s="23" t="s">
        <v>4925</v>
      </c>
      <c r="I271" s="17"/>
    </row>
    <row r="272" spans="1:9" ht="15.9" hidden="1" customHeight="1">
      <c r="A272" s="6">
        <v>268</v>
      </c>
      <c r="B272" s="16" t="str">
        <f>HYPERLINK("https://www.geriatrie-kongress.de/files/geriatrie/2023/202309_Frankfurt_DGG-Kongress_Programm.pdf","2023 - 35th Congress of the German Society for Geriatrics")</f>
        <v>2023 - 35th Congress of the German Society for Geriatrics</v>
      </c>
      <c r="C272" s="24" t="s">
        <v>15</v>
      </c>
      <c r="D272" s="17" t="s">
        <v>295</v>
      </c>
      <c r="E272" s="17" t="s">
        <v>4795</v>
      </c>
      <c r="F272" s="16" t="s">
        <v>4796</v>
      </c>
      <c r="G272" s="18">
        <v>9</v>
      </c>
      <c r="H272" s="23" t="s">
        <v>4925</v>
      </c>
      <c r="I272" s="17"/>
    </row>
    <row r="273" spans="1:9" ht="15.9" hidden="1" customHeight="1">
      <c r="A273" s="6">
        <v>269</v>
      </c>
      <c r="B273" s="16" t="str">
        <f>HYPERLINK("https://www.gerontologie-geriatrie-kongress.org/programm.html","2024 - 36th Congress of the German Society for Geriatrics")</f>
        <v>2024 - 36th Congress of the German Society for Geriatrics</v>
      </c>
      <c r="C273" s="24" t="s">
        <v>15</v>
      </c>
      <c r="D273" s="17" t="s">
        <v>295</v>
      </c>
      <c r="E273" s="17" t="s">
        <v>4797</v>
      </c>
      <c r="F273" s="16" t="s">
        <v>4798</v>
      </c>
      <c r="G273" s="18">
        <v>9</v>
      </c>
      <c r="H273" s="23" t="s">
        <v>4925</v>
      </c>
      <c r="I273" s="17"/>
    </row>
    <row r="274" spans="1:9" ht="15.9" hidden="1" customHeight="1">
      <c r="A274" s="6">
        <v>270</v>
      </c>
      <c r="B274" s="16" t="str">
        <f>HYPERLINK("https://www.ostfalia.de/cms/de/g/.galleries/g_veranstaltungen_2020/202209_FFM_GGK_Programm2.pdf","2022 - 34th Congress of the German Society for Geriatrics")</f>
        <v>2022 - 34th Congress of the German Society for Geriatrics</v>
      </c>
      <c r="C274" s="24" t="s">
        <v>15</v>
      </c>
      <c r="D274" s="17" t="s">
        <v>295</v>
      </c>
      <c r="E274" s="17" t="s">
        <v>4797</v>
      </c>
      <c r="F274" s="16" t="s">
        <v>4799</v>
      </c>
      <c r="G274" s="18">
        <v>9</v>
      </c>
      <c r="H274" s="23" t="s">
        <v>4925</v>
      </c>
      <c r="I274" s="17"/>
    </row>
    <row r="275" spans="1:9" ht="15.9" hidden="1" customHeight="1">
      <c r="A275" s="6">
        <v>271</v>
      </c>
      <c r="B275" s="16" t="str">
        <f>HYPERLINK("https://www.youtube.com/playlist?list=PLFRd3c1FCNFH5Hm5ygcYGfINpk7g7KjqD","2021 - 33rd Congress of the German Society for Geriatrics")</f>
        <v>2021 - 33rd Congress of the German Society for Geriatrics</v>
      </c>
      <c r="C275" s="24" t="s">
        <v>15</v>
      </c>
      <c r="D275" s="17" t="s">
        <v>295</v>
      </c>
      <c r="E275" s="17" t="s">
        <v>4797</v>
      </c>
      <c r="F275" s="16" t="s">
        <v>4800</v>
      </c>
      <c r="G275" s="18">
        <v>9</v>
      </c>
      <c r="H275" s="23" t="s">
        <v>4925</v>
      </c>
      <c r="I275" s="17"/>
    </row>
    <row r="276" spans="1:9" ht="15.9" hidden="1" customHeight="1">
      <c r="A276" s="6">
        <v>272</v>
      </c>
      <c r="B276" s="16" t="str">
        <f>HYPERLINK("https://www.aey-congresse.de/events/dgg-dggg-online-konferenz.html","2020 - 32nd Congress of the German Society for Geriatrics")</f>
        <v>2020 - 32nd Congress of the German Society for Geriatrics</v>
      </c>
      <c r="C276" s="24" t="s">
        <v>15</v>
      </c>
      <c r="D276" s="17" t="s">
        <v>295</v>
      </c>
      <c r="E276" s="17" t="s">
        <v>4797</v>
      </c>
      <c r="F276" s="16" t="s">
        <v>4801</v>
      </c>
      <c r="G276" s="18">
        <v>9</v>
      </c>
      <c r="H276" s="23" t="s">
        <v>4925</v>
      </c>
      <c r="I276" s="17"/>
    </row>
    <row r="277" spans="1:9" ht="15.9" hidden="1" customHeight="1">
      <c r="A277" s="6">
        <v>273</v>
      </c>
      <c r="B277" s="16" t="str">
        <f>HYPERLINK("https://www.dgbp.de/wp-content/uploads/2024/04/Programmheft-Kongress-DGBP-u.-AGNP-2024_final-1.pdf","2024 - 4th Joint Congress of German Society for Neuropsychopharmacology and Pharmacopsychiatry and German Society for Biological Psychiatry")</f>
        <v>2024 - 4th Joint Congress of German Society for Neuropsychopharmacology and Pharmacopsychiatry and German Society for Biological Psychiatry</v>
      </c>
      <c r="C277" s="24" t="s">
        <v>15</v>
      </c>
      <c r="D277" s="17" t="s">
        <v>295</v>
      </c>
      <c r="E277" s="17" t="s">
        <v>4802</v>
      </c>
      <c r="F277" s="16" t="s">
        <v>4803</v>
      </c>
      <c r="G277" s="18">
        <v>4</v>
      </c>
      <c r="H277" s="23" t="s">
        <v>4925</v>
      </c>
      <c r="I277" s="17"/>
    </row>
    <row r="278" spans="1:9" ht="15.9" hidden="1" customHeight="1">
      <c r="A278" s="6">
        <v>274</v>
      </c>
      <c r="B278" s="16" t="str">
        <f>HYPERLINK("https://www.dgbp.de/wp-content/uploads/2023/07/Gesamtprogramm2022_Stand_21.8.22.pdf","2022 - 3rd Joint Congress of German Society for Neuropsychopharmacology and Pharmacopsychiatry and German Society for Biological Psychiatry")</f>
        <v>2022 - 3rd Joint Congress of German Society for Neuropsychopharmacology and Pharmacopsychiatry and German Society for Biological Psychiatry</v>
      </c>
      <c r="C278" s="24" t="s">
        <v>15</v>
      </c>
      <c r="D278" s="17" t="s">
        <v>295</v>
      </c>
      <c r="E278" s="17" t="s">
        <v>4802</v>
      </c>
      <c r="F278" s="16" t="s">
        <v>4804</v>
      </c>
      <c r="G278" s="18">
        <v>4</v>
      </c>
      <c r="H278" s="23" t="s">
        <v>4925</v>
      </c>
      <c r="I278" s="17"/>
    </row>
    <row r="279" spans="1:9" ht="15.9" hidden="1" customHeight="1">
      <c r="A279" s="6">
        <v>275</v>
      </c>
      <c r="B279" s="16" t="str">
        <f>HYPERLINK("https://dgps2024.univie.ac.at/fileadmin/user_upload/k_dgps2020/Programmheft_14092024.pdf","2024 - 53rd German Society for Psychology (DGPs) Congress")</f>
        <v>2024 - 53rd German Society for Psychology (DGPs) Congress</v>
      </c>
      <c r="C279" s="24" t="s">
        <v>15</v>
      </c>
      <c r="D279" s="17" t="s">
        <v>295</v>
      </c>
      <c r="E279" s="17" t="s">
        <v>413</v>
      </c>
      <c r="F279" s="16" t="s">
        <v>5010</v>
      </c>
      <c r="G279" s="18">
        <v>5</v>
      </c>
      <c r="H279" s="23" t="s">
        <v>4925</v>
      </c>
      <c r="I279" s="17"/>
    </row>
    <row r="280" spans="1:9" ht="15.9" hidden="1" customHeight="1">
      <c r="A280" s="6">
        <v>276</v>
      </c>
      <c r="B280" s="16" t="str">
        <f>HYPERLINK("https://www.uni-hildesheim.de/dgps2022/wp-content/uploads/2022/09/52._DGPs-Kongress_2022_Programm_Stand20220915_kl.pdf","2022 - 52nd German Society for Psychology (DGPs) Congress")</f>
        <v>2022 - 52nd German Society for Psychology (DGPs) Congress</v>
      </c>
      <c r="C280" s="24" t="s">
        <v>15</v>
      </c>
      <c r="D280" s="17" t="s">
        <v>295</v>
      </c>
      <c r="E280" s="17" t="s">
        <v>413</v>
      </c>
      <c r="F280" s="16" t="s">
        <v>4016</v>
      </c>
      <c r="G280" s="18">
        <v>5</v>
      </c>
      <c r="H280" s="23" t="s">
        <v>4925</v>
      </c>
      <c r="I280" s="17"/>
    </row>
    <row r="281" spans="1:9" ht="15.9" hidden="1" customHeight="1">
      <c r="A281" s="6">
        <v>277</v>
      </c>
      <c r="B281" s="16" t="str">
        <f>HYPERLINK("https://dnvp9c1uo2095.cloudfront.net/cms-content/DGN_Kongress-2024_Vorprogramm_WEB_1719227748211.pdf","2024 - 97th Congress of the German Society of Neurology")</f>
        <v>2024 - 97th Congress of the German Society of Neurology</v>
      </c>
      <c r="C281" s="24" t="s">
        <v>15</v>
      </c>
      <c r="D281" s="17" t="s">
        <v>295</v>
      </c>
      <c r="E281" s="17" t="s">
        <v>4017</v>
      </c>
      <c r="F281" s="16" t="s">
        <v>4018</v>
      </c>
      <c r="G281" s="18">
        <v>8</v>
      </c>
      <c r="H281" s="23" t="s">
        <v>4925</v>
      </c>
      <c r="I281" s="17"/>
    </row>
    <row r="282" spans="1:9" ht="15.9" hidden="1" customHeight="1">
      <c r="A282" s="6">
        <v>278</v>
      </c>
      <c r="B282" s="16" t="str">
        <f>HYPERLINK("https://www.dgnvirtualmeeting.org/dgn/dgn2023/de-DE/search","2023 - 96th Congress of the German Society of Neurology")</f>
        <v>2023 - 96th Congress of the German Society of Neurology</v>
      </c>
      <c r="C282" s="24" t="s">
        <v>15</v>
      </c>
      <c r="D282" s="17" t="s">
        <v>295</v>
      </c>
      <c r="E282" s="17" t="s">
        <v>4017</v>
      </c>
      <c r="F282" s="16" t="s">
        <v>4019</v>
      </c>
      <c r="G282" s="18">
        <v>8</v>
      </c>
      <c r="H282" s="23" t="s">
        <v>4925</v>
      </c>
      <c r="I282" s="17"/>
    </row>
    <row r="283" spans="1:9" ht="15.9" hidden="1" customHeight="1">
      <c r="A283" s="6">
        <v>279</v>
      </c>
      <c r="B283" s="16" t="str">
        <f>HYPERLINK("https://dmkg.de/startseite/veranstaltungen-allgemein/events/dgn-kongress95-2022","2022 - 95th Congress of the German Society of Neurology")</f>
        <v>2022 - 95th Congress of the German Society of Neurology</v>
      </c>
      <c r="C283" s="24" t="s">
        <v>15</v>
      </c>
      <c r="D283" s="17" t="s">
        <v>295</v>
      </c>
      <c r="E283" s="17" t="s">
        <v>4017</v>
      </c>
      <c r="F283" s="16" t="s">
        <v>4020</v>
      </c>
      <c r="G283" s="18">
        <v>8</v>
      </c>
      <c r="H283" s="23" t="s">
        <v>4925</v>
      </c>
      <c r="I283" s="17"/>
    </row>
    <row r="284" spans="1:9" ht="15.9" hidden="1" customHeight="1">
      <c r="A284" s="6">
        <v>280</v>
      </c>
      <c r="B284" s="16" t="str">
        <f>HYPERLINK("https://www.journalmed.de/veranstaltungen/details/94_dgn_kongress_2021","2021 - 94th Congress of the German Society of Neurology")</f>
        <v>2021 - 94th Congress of the German Society of Neurology</v>
      </c>
      <c r="C284" s="24" t="s">
        <v>15</v>
      </c>
      <c r="D284" s="17" t="s">
        <v>295</v>
      </c>
      <c r="E284" s="17" t="s">
        <v>4017</v>
      </c>
      <c r="F284" s="16" t="s">
        <v>4021</v>
      </c>
      <c r="G284" s="18">
        <v>8</v>
      </c>
      <c r="H284" s="23" t="s">
        <v>4925</v>
      </c>
      <c r="I284" s="17"/>
    </row>
    <row r="285" spans="1:9" ht="15.9" hidden="1" customHeight="1">
      <c r="A285" s="6">
        <v>281</v>
      </c>
      <c r="B285" s="16" t="str">
        <f>HYPERLINK("https://g.allm.net/events/93-kongress-der-deutschen-gesellschaft-fur-neurologie/","2020 - 93rd Congress of the German Society of Neurology")</f>
        <v>2020 - 93rd Congress of the German Society of Neurology</v>
      </c>
      <c r="C285" s="24" t="s">
        <v>15</v>
      </c>
      <c r="D285" s="17" t="s">
        <v>295</v>
      </c>
      <c r="E285" s="17" t="s">
        <v>4017</v>
      </c>
      <c r="F285" s="16" t="s">
        <v>4022</v>
      </c>
      <c r="G285" s="18">
        <v>8</v>
      </c>
      <c r="H285" s="23" t="s">
        <v>4925</v>
      </c>
      <c r="I285" s="17"/>
    </row>
    <row r="286" spans="1:9" ht="15.9" hidden="1" customHeight="1">
      <c r="A286" s="6">
        <v>282</v>
      </c>
      <c r="B286" s="16" t="str">
        <f>HYPERLINK("https://www.claudiabartocci.it/blog/2024/04/17/isps-italia-vii-convegno-nazionale/","2024 - VII National Conference of International Society for Psychological and Social Approaches to Psychosis")</f>
        <v>2024 - VII National Conference of International Society for Psychological and Social Approaches to Psychosis</v>
      </c>
      <c r="C286" s="24" t="s">
        <v>15</v>
      </c>
      <c r="D286" s="17" t="s">
        <v>16</v>
      </c>
      <c r="E286" s="17" t="s">
        <v>4023</v>
      </c>
      <c r="F286" s="16" t="s">
        <v>4024</v>
      </c>
      <c r="G286" s="18">
        <v>3</v>
      </c>
      <c r="H286" s="23" t="s">
        <v>4325</v>
      </c>
      <c r="I286" s="17"/>
    </row>
    <row r="287" spans="1:9" ht="15.9" hidden="1" customHeight="1">
      <c r="A287" s="6">
        <v>283</v>
      </c>
      <c r="B287" s="16" t="str">
        <f>HYPERLINK("https://www.istitutogaetanobenedetti.eu/wp-content/uploads/2020/10/Congresso-Nazionale-ISPS-23-e-24-Ottobre-2020.pdf","2020 - VI National Conference of International Society for Psychological and Social Approaches to Psychosis")</f>
        <v>2020 - VI National Conference of International Society for Psychological and Social Approaches to Psychosis</v>
      </c>
      <c r="C287" s="24" t="s">
        <v>15</v>
      </c>
      <c r="D287" s="17" t="s">
        <v>16</v>
      </c>
      <c r="E287" s="17" t="s">
        <v>4023</v>
      </c>
      <c r="F287" s="16" t="s">
        <v>4025</v>
      </c>
      <c r="G287" s="18">
        <v>3</v>
      </c>
      <c r="H287" s="23" t="s">
        <v>4325</v>
      </c>
      <c r="I287" s="17"/>
    </row>
    <row r="288" spans="1:9" ht="15.9" hidden="1" customHeight="1">
      <c r="A288" s="6">
        <v>284</v>
      </c>
      <c r="B288" s="16" t="str">
        <f>HYPERLINK("https://www.aipp-italia.com/wp-content/uploads/2023/09/IX-Congresso-AIPP2023BARI_PRG.pdf","2023 - IX National Italian Association for Prevention and Early Intervention in Mental Health (AIPP) Congress")</f>
        <v>2023 - IX National Italian Association for Prevention and Early Intervention in Mental Health (AIPP) Congress</v>
      </c>
      <c r="C288" s="24" t="s">
        <v>15</v>
      </c>
      <c r="D288" s="17" t="s">
        <v>16</v>
      </c>
      <c r="E288" s="17" t="s">
        <v>4026</v>
      </c>
      <c r="F288" s="16" t="s">
        <v>4027</v>
      </c>
      <c r="G288" s="18">
        <v>4</v>
      </c>
      <c r="H288" s="23" t="s">
        <v>4925</v>
      </c>
      <c r="I288" s="17"/>
    </row>
    <row r="289" spans="1:9" ht="15.9" hidden="1" customHeight="1">
      <c r="A289" s="6">
        <v>285</v>
      </c>
      <c r="B289" s="16" t="str">
        <f>HYPERLINK("https://www.aipp-italia.com/wp-content/uploads/2021/09/VIII-CONGRESSO-AIPP-2021_PROGRAMMA.pdf","2021 - VIII National Italian Association for Prevention and Early Intervention in Mental Health (AIPP) Congress")</f>
        <v>2021 - VIII National Italian Association for Prevention and Early Intervention in Mental Health (AIPP) Congress</v>
      </c>
      <c r="C289" s="24" t="s">
        <v>15</v>
      </c>
      <c r="D289" s="17" t="s">
        <v>16</v>
      </c>
      <c r="E289" s="17" t="s">
        <v>4026</v>
      </c>
      <c r="F289" s="16" t="s">
        <v>4028</v>
      </c>
      <c r="G289" s="18">
        <v>4</v>
      </c>
      <c r="H289" s="23" t="s">
        <v>4925</v>
      </c>
      <c r="I289" s="17"/>
    </row>
    <row r="290" spans="1:9" ht="15.9" hidden="1" customHeight="1">
      <c r="A290" s="6">
        <v>286</v>
      </c>
      <c r="B290" s="16" t="str">
        <f>HYPERLINK("https://psicogeriatria.it/congresso-nazionale-aip-2024/","2024 - 24th National Congress on Italian Association of Psychogeriatrics")</f>
        <v>2024 - 24th National Congress on Italian Association of Psychogeriatrics</v>
      </c>
      <c r="C290" s="24" t="s">
        <v>15</v>
      </c>
      <c r="D290" s="17" t="s">
        <v>16</v>
      </c>
      <c r="E290" s="17" t="s">
        <v>4805</v>
      </c>
      <c r="F290" s="16" t="s">
        <v>4807</v>
      </c>
      <c r="G290" s="18">
        <v>5</v>
      </c>
      <c r="H290" s="23" t="s">
        <v>4925</v>
      </c>
      <c r="I290" s="17"/>
    </row>
    <row r="291" spans="1:9" ht="15.9" hidden="1" customHeight="1">
      <c r="A291" s="6">
        <v>287</v>
      </c>
      <c r="B291" s="16" t="str">
        <f>HYPERLINK("https://www.acsamedical.it/wp-content/uploads/2024/05/2024_06_6-8-6%C2%B0-congresso-nazionale-GIOVANI-AIP.pdf","2024 - 6th Italian Association of Psychogeriatrics Youth National Congress")</f>
        <v>2024 - 6th Italian Association of Psychogeriatrics Youth National Congress</v>
      </c>
      <c r="C291" s="24" t="s">
        <v>15</v>
      </c>
      <c r="D291" s="17" t="s">
        <v>16</v>
      </c>
      <c r="E291" s="17" t="s">
        <v>4805</v>
      </c>
      <c r="F291" s="16" t="s">
        <v>4806</v>
      </c>
      <c r="G291" s="18">
        <v>5</v>
      </c>
      <c r="H291" s="23" t="s">
        <v>4925</v>
      </c>
      <c r="I291" s="17"/>
    </row>
    <row r="292" spans="1:9" ht="15.9" hidden="1" customHeight="1">
      <c r="A292" s="6">
        <v>288</v>
      </c>
      <c r="B292" s="16" t="str">
        <f>HYPERLINK("https://psicogeriatria.it/xvii-brain-aging/","2023 - XIX Aging Brain Italian Association of Psychogeriatrics")</f>
        <v>2023 - XIX Aging Brain Italian Association of Psychogeriatrics</v>
      </c>
      <c r="C292" s="24" t="s">
        <v>15</v>
      </c>
      <c r="D292" s="17" t="s">
        <v>16</v>
      </c>
      <c r="E292" s="17" t="s">
        <v>4805</v>
      </c>
      <c r="F292" s="16" t="s">
        <v>4808</v>
      </c>
      <c r="G292" s="18">
        <v>5</v>
      </c>
      <c r="H292" s="23" t="s">
        <v>4925</v>
      </c>
      <c r="I292" s="17"/>
    </row>
    <row r="293" spans="1:9" ht="15.9" hidden="1" customHeight="1">
      <c r="A293" s="6">
        <v>289</v>
      </c>
      <c r="B293" s="16" t="str">
        <f>HYPERLINK("https://www.aipcongresso.it/medias/192-23-congresso-nazionale-aipprogramma.pdf","2023 - 23rd National Congress on Italian Association of Psychogeriatrics")</f>
        <v>2023 - 23rd National Congress on Italian Association of Psychogeriatrics</v>
      </c>
      <c r="C293" s="24" t="s">
        <v>15</v>
      </c>
      <c r="D293" s="17" t="s">
        <v>16</v>
      </c>
      <c r="E293" s="17" t="s">
        <v>4805</v>
      </c>
      <c r="F293" s="16" t="s">
        <v>4810</v>
      </c>
      <c r="G293" s="18">
        <v>5</v>
      </c>
      <c r="H293" s="23" t="s">
        <v>4925</v>
      </c>
      <c r="I293" s="17"/>
    </row>
    <row r="294" spans="1:9" ht="15.9" hidden="1" customHeight="1">
      <c r="A294" s="6">
        <v>290</v>
      </c>
      <c r="B294" s="16" t="str">
        <f>HYPERLINK("https://psicogeriatria.it/5-congresso-nazionale-giovani-aip/","2023 - 5th Italian Association of Psychogeriatrics Youth National Congress")</f>
        <v>2023 - 5th Italian Association of Psychogeriatrics Youth National Congress</v>
      </c>
      <c r="C294" s="24" t="s">
        <v>15</v>
      </c>
      <c r="D294" s="17" t="s">
        <v>16</v>
      </c>
      <c r="E294" s="17" t="s">
        <v>4805</v>
      </c>
      <c r="F294" s="16" t="s">
        <v>4809</v>
      </c>
      <c r="G294" s="18">
        <v>5</v>
      </c>
      <c r="H294" s="23" t="s">
        <v>4925</v>
      </c>
      <c r="I294" s="17"/>
    </row>
    <row r="295" spans="1:9" ht="15.9" hidden="1" customHeight="1">
      <c r="A295" s="6">
        <v>291</v>
      </c>
      <c r="B295" s="16" t="str">
        <f>HYPERLINK("https://www.fitoproject.it/wp-content/uploads/2022/12/napoli-14-16-dicembre-2022.pdf","2022 - XVIII Aging Brain Italian Association of Psychogeriatrics")</f>
        <v>2022 - XVIII Aging Brain Italian Association of Psychogeriatrics</v>
      </c>
      <c r="C295" s="24" t="s">
        <v>15</v>
      </c>
      <c r="D295" s="17" t="s">
        <v>16</v>
      </c>
      <c r="E295" s="17" t="s">
        <v>4805</v>
      </c>
      <c r="F295" s="16" t="s">
        <v>4811</v>
      </c>
      <c r="G295" s="18">
        <v>5</v>
      </c>
      <c r="H295" s="23" t="s">
        <v>4925</v>
      </c>
      <c r="I295" s="17"/>
    </row>
    <row r="296" spans="1:9" ht="15.9" hidden="1" customHeight="1">
      <c r="A296" s="6">
        <v>292</v>
      </c>
      <c r="B296" s="16" t="str">
        <f>HYPERLINK("http://2022.aipcongresso.it/medias/172-22-congresso-nazionale-aipprogramma.pdf","2022 - 22nd National Congress on Italian Association of Psychogeriatrics")</f>
        <v>2022 - 22nd National Congress on Italian Association of Psychogeriatrics</v>
      </c>
      <c r="C296" s="24" t="s">
        <v>15</v>
      </c>
      <c r="D296" s="17" t="s">
        <v>16</v>
      </c>
      <c r="E296" s="17" t="s">
        <v>4805</v>
      </c>
      <c r="F296" s="16" t="s">
        <v>4813</v>
      </c>
      <c r="G296" s="18">
        <v>5</v>
      </c>
      <c r="H296" s="23" t="s">
        <v>4925</v>
      </c>
      <c r="I296" s="17"/>
    </row>
    <row r="297" spans="1:9" ht="15.9" hidden="1" customHeight="1">
      <c r="A297" s="6">
        <v>293</v>
      </c>
      <c r="B297" s="16" t="str">
        <f>HYPERLINK("https://psicogeriatria.it/4-congresso-nazionale-giovani-aip/","2022 - 4th Italian Association of Psychogeriatrics Youth National Congress")</f>
        <v>2022 - 4th Italian Association of Psychogeriatrics Youth National Congress</v>
      </c>
      <c r="C297" s="24" t="s">
        <v>15</v>
      </c>
      <c r="D297" s="17" t="s">
        <v>16</v>
      </c>
      <c r="E297" s="17" t="s">
        <v>4805</v>
      </c>
      <c r="F297" s="16" t="s">
        <v>4812</v>
      </c>
      <c r="G297" s="18">
        <v>5</v>
      </c>
      <c r="H297" s="23" t="s">
        <v>4925</v>
      </c>
      <c r="I297" s="17"/>
    </row>
    <row r="298" spans="1:9" ht="15.9" hidden="1" customHeight="1">
      <c r="A298" s="6">
        <v>294</v>
      </c>
      <c r="B298" s="16" t="str">
        <f>HYPERLINK("https://psicogeriatria.it/xvii-brain-aging/","2021 - XVII Aging Brain Italian Association of Psychogeriatrics")</f>
        <v>2021 - XVII Aging Brain Italian Association of Psychogeriatrics</v>
      </c>
      <c r="C298" s="24" t="s">
        <v>15</v>
      </c>
      <c r="D298" s="17" t="s">
        <v>16</v>
      </c>
      <c r="E298" s="17" t="s">
        <v>4805</v>
      </c>
      <c r="F298" s="16" t="s">
        <v>4808</v>
      </c>
      <c r="G298" s="18">
        <v>5</v>
      </c>
      <c r="H298" s="23" t="s">
        <v>4925</v>
      </c>
      <c r="I298" s="17"/>
    </row>
    <row r="299" spans="1:9" ht="15.9" hidden="1" customHeight="1">
      <c r="A299" s="6">
        <v>295</v>
      </c>
      <c r="B299" s="16" t="str">
        <f>HYPERLINK("http://2021.aipcongresso.it/medias/148-21-congresso-naizonale-aipprogramma.pdf","2021 - 21st National Congress on Italian Association of Psychogeriatrics")</f>
        <v>2021 - 21st National Congress on Italian Association of Psychogeriatrics</v>
      </c>
      <c r="C299" s="24" t="s">
        <v>15</v>
      </c>
      <c r="D299" s="17" t="s">
        <v>16</v>
      </c>
      <c r="E299" s="17" t="s">
        <v>4805</v>
      </c>
      <c r="F299" s="16" t="s">
        <v>4815</v>
      </c>
      <c r="G299" s="18">
        <v>5</v>
      </c>
      <c r="H299" s="23" t="s">
        <v>4925</v>
      </c>
      <c r="I299" s="17"/>
    </row>
    <row r="300" spans="1:9" ht="15.9" hidden="1" customHeight="1">
      <c r="A300" s="6">
        <v>296</v>
      </c>
      <c r="B300" s="16" t="str">
        <f>HYPERLINK("https://www.piamfarmaceutici.com/wp-content/uploads/2021/09/3%C2%B0-Incontro-Nazionale-AIP-Giovani-Torino-bozza-1608-1-compresso.pdf","2021 - 3rd Italian Association of Psychogeriatrics Youth National Congress")</f>
        <v>2021 - 3rd Italian Association of Psychogeriatrics Youth National Congress</v>
      </c>
      <c r="C300" s="24" t="s">
        <v>15</v>
      </c>
      <c r="D300" s="17" t="s">
        <v>16</v>
      </c>
      <c r="E300" s="17" t="s">
        <v>4805</v>
      </c>
      <c r="F300" s="16" t="s">
        <v>4814</v>
      </c>
      <c r="G300" s="18">
        <v>5</v>
      </c>
      <c r="H300" s="23" t="s">
        <v>4925</v>
      </c>
      <c r="I300" s="17"/>
    </row>
    <row r="301" spans="1:9" ht="15.9" hidden="1" customHeight="1">
      <c r="A301" s="6">
        <v>297</v>
      </c>
      <c r="B301" s="16" t="str">
        <f>HYPERLINK("https://www.facebook.com/events/833335730820769/?active_tab=discussion","2020 - XVI Aging Brain Italian Association of Psychogeriatrics")</f>
        <v>2020 - XVI Aging Brain Italian Association of Psychogeriatrics</v>
      </c>
      <c r="C301" s="24" t="s">
        <v>15</v>
      </c>
      <c r="D301" s="17" t="s">
        <v>16</v>
      </c>
      <c r="E301" s="17" t="s">
        <v>4805</v>
      </c>
      <c r="F301" s="16" t="s">
        <v>4816</v>
      </c>
      <c r="G301" s="18">
        <v>5</v>
      </c>
      <c r="H301" s="23" t="s">
        <v>4925</v>
      </c>
      <c r="I301" s="17"/>
    </row>
    <row r="302" spans="1:9" ht="15.9" hidden="1" customHeight="1">
      <c r="A302" s="6">
        <v>298</v>
      </c>
      <c r="B302" s="16" t="str">
        <f>HYPERLINK("https://2020.aipcongresso.it/medias/135-20-congresso-nazionale-aip-virtualeprogramma.pdf","2020 - 20th National Congress on Italian Association of Psychogeriatrics")</f>
        <v>2020 - 20th National Congress on Italian Association of Psychogeriatrics</v>
      </c>
      <c r="C302" s="24" t="s">
        <v>15</v>
      </c>
      <c r="D302" s="17" t="s">
        <v>16</v>
      </c>
      <c r="E302" s="17" t="s">
        <v>4805</v>
      </c>
      <c r="F302" s="16" t="s">
        <v>4818</v>
      </c>
      <c r="G302" s="18">
        <v>5</v>
      </c>
      <c r="H302" s="23" t="s">
        <v>4925</v>
      </c>
      <c r="I302" s="17"/>
    </row>
    <row r="303" spans="1:9" ht="15.9" hidden="1" customHeight="1">
      <c r="A303" s="6">
        <v>299</v>
      </c>
      <c r="B303" s="16" t="str">
        <f>HYPERLINK("https://advenias.it/wp-content/uploads/2020/02/2-Convegno-Nazionale-Giovani-AIP.pdf","2020 - 2nd Italian Association of Psychogeriatrics Youth National Congress")</f>
        <v>2020 - 2nd Italian Association of Psychogeriatrics Youth National Congress</v>
      </c>
      <c r="C303" s="24" t="s">
        <v>15</v>
      </c>
      <c r="D303" s="17" t="s">
        <v>16</v>
      </c>
      <c r="E303" s="17" t="s">
        <v>4805</v>
      </c>
      <c r="F303" s="16" t="s">
        <v>4817</v>
      </c>
      <c r="G303" s="18">
        <v>5</v>
      </c>
      <c r="H303" s="23" t="s">
        <v>4925</v>
      </c>
      <c r="I303" s="17"/>
    </row>
    <row r="304" spans="1:9" ht="15.9" hidden="1" customHeight="1">
      <c r="A304" s="6">
        <v>300</v>
      </c>
      <c r="B304" s="16" t="str">
        <f>HYPERLINK("https://aipass.org/eventi/xviii-congresso-nazionale-della-sezione-di-psicologia-sociale-dellaip/","2024 - XVIII National Congress of the Social Psychology Section of the Italian Association of Psychology")</f>
        <v>2024 - XVIII National Congress of the Social Psychology Section of the Italian Association of Psychology</v>
      </c>
      <c r="C304" s="24" t="s">
        <v>15</v>
      </c>
      <c r="D304" s="17" t="s">
        <v>16</v>
      </c>
      <c r="E304" s="17" t="s">
        <v>4029</v>
      </c>
      <c r="F304" s="16" t="s">
        <v>4030</v>
      </c>
      <c r="G304" s="18">
        <v>5</v>
      </c>
      <c r="H304" s="23" t="s">
        <v>4925</v>
      </c>
      <c r="I304" s="17"/>
    </row>
    <row r="305" spans="1:9" ht="15.9" hidden="1" customHeight="1">
      <c r="A305" s="6">
        <v>301</v>
      </c>
      <c r="B305" s="16" t="str">
        <f>HYPERLINK("https://aipass.org/xvii-congresso-nazionale-della-sezione-di-psicologia-sociale-dellaip/","2021 - XVII National Congress of the Social Psychology Section of the Italian Association of Psychology")</f>
        <v>2021 - XVII National Congress of the Social Psychology Section of the Italian Association of Psychology</v>
      </c>
      <c r="C305" s="24" t="s">
        <v>15</v>
      </c>
      <c r="D305" s="17" t="s">
        <v>16</v>
      </c>
      <c r="E305" s="17" t="s">
        <v>4029</v>
      </c>
      <c r="F305" s="16" t="s">
        <v>4031</v>
      </c>
      <c r="G305" s="18">
        <v>5</v>
      </c>
      <c r="H305" s="23" t="s">
        <v>4925</v>
      </c>
      <c r="I305" s="17"/>
    </row>
    <row r="306" spans="1:9" ht="15.9" hidden="1" customHeight="1">
      <c r="A306" s="6">
        <v>302</v>
      </c>
      <c r="B306" s="16" t="str">
        <f>HYPERLINK("https://www.sipb.it//struttura/Programma%20FINALE_SIPB_Napoli_2023.pdf","2023 - 13th Congress of the Italian Society of Biological Psychiatry")</f>
        <v>2023 - 13th Congress of the Italian Society of Biological Psychiatry</v>
      </c>
      <c r="C306" s="24" t="s">
        <v>15</v>
      </c>
      <c r="D306" s="17" t="s">
        <v>16</v>
      </c>
      <c r="E306" s="17" t="s">
        <v>4819</v>
      </c>
      <c r="F306" s="16" t="s">
        <v>4820</v>
      </c>
      <c r="G306" s="18">
        <v>4</v>
      </c>
      <c r="H306" s="23" t="s">
        <v>4925</v>
      </c>
      <c r="I306" s="17"/>
    </row>
    <row r="307" spans="1:9" ht="15.9" hidden="1" customHeight="1">
      <c r="A307" s="6">
        <v>303</v>
      </c>
      <c r="B307" s="16" t="str">
        <f>HYPERLINK("https://static1.squarespace.com/static/615473db7c95755fa2010965/t/66b4a9f57252903ac84cc198/1723116025802/SINPIA+PROGRAMMA+PRELIMINARE+-+update+08.08.24.pdf","2024 - 30th National Congress of Italian Society of Child and Adolescent Neuropsychiatry")</f>
        <v>2024 - 30th National Congress of Italian Society of Child and Adolescent Neuropsychiatry</v>
      </c>
      <c r="C307" s="24" t="s">
        <v>15</v>
      </c>
      <c r="D307" s="17" t="s">
        <v>16</v>
      </c>
      <c r="E307" s="17" t="s">
        <v>4032</v>
      </c>
      <c r="F307" s="16" t="s">
        <v>4033</v>
      </c>
      <c r="G307" s="18">
        <v>3</v>
      </c>
      <c r="H307" s="23" t="s">
        <v>4325</v>
      </c>
      <c r="I307" s="17"/>
    </row>
    <row r="308" spans="1:9" ht="15.9" hidden="1" customHeight="1">
      <c r="A308" s="6">
        <v>304</v>
      </c>
      <c r="B308" s="16" t="str">
        <f>HYPERLINK("https://sinpia.eu/wp-content/uploads/2022/09/SINPIA-2021-PROGRAMMA.pdf","2021 - 29th National Congress of Italian Society of Child and Adolescent Neuropsychiatry")</f>
        <v>2021 - 29th National Congress of Italian Society of Child and Adolescent Neuropsychiatry</v>
      </c>
      <c r="C308" s="24" t="s">
        <v>15</v>
      </c>
      <c r="D308" s="17" t="s">
        <v>16</v>
      </c>
      <c r="E308" s="17" t="s">
        <v>4032</v>
      </c>
      <c r="F308" s="16" t="s">
        <v>4034</v>
      </c>
      <c r="G308" s="18">
        <v>3</v>
      </c>
      <c r="H308" s="23" t="s">
        <v>4325</v>
      </c>
      <c r="I308" s="17"/>
    </row>
    <row r="309" spans="1:9" ht="15.9" hidden="1" customHeight="1">
      <c r="A309" s="6">
        <v>305</v>
      </c>
      <c r="B309" s="16" t="str">
        <f>HYPERLINK("https://sigg2024.webaimgroup.eu/programma/","2024 - 69th National Congress on Italian Society of Gerontology and Geriatrics")</f>
        <v>2024 - 69th National Congress on Italian Society of Gerontology and Geriatrics</v>
      </c>
      <c r="C309" s="24" t="s">
        <v>15</v>
      </c>
      <c r="D309" s="17" t="s">
        <v>16</v>
      </c>
      <c r="E309" s="17" t="s">
        <v>4821</v>
      </c>
      <c r="F309" s="16" t="s">
        <v>4822</v>
      </c>
      <c r="G309" s="18">
        <v>9</v>
      </c>
      <c r="H309" s="23" t="s">
        <v>4925</v>
      </c>
      <c r="I309" s="17"/>
    </row>
    <row r="310" spans="1:9" ht="15.9" hidden="1" customHeight="1">
      <c r="A310" s="6">
        <v>306</v>
      </c>
      <c r="B310" s="16" t="str">
        <f>HYPERLINK("https://www.sigg.it/wp-content/uploads/2023/12/SIGG-2023_Programma-Definitivo_SITO.pdf","2023 - 68th National Congress on Italian Society of Gerontology and Geriatrics")</f>
        <v>2023 - 68th National Congress on Italian Society of Gerontology and Geriatrics</v>
      </c>
      <c r="C310" s="24" t="s">
        <v>15</v>
      </c>
      <c r="D310" s="17" t="s">
        <v>16</v>
      </c>
      <c r="E310" s="17" t="s">
        <v>4821</v>
      </c>
      <c r="F310" s="16" t="s">
        <v>4823</v>
      </c>
      <c r="G310" s="18">
        <v>9</v>
      </c>
      <c r="H310" s="23" t="s">
        <v>4925</v>
      </c>
      <c r="I310" s="17"/>
    </row>
    <row r="311" spans="1:9" ht="15.9" hidden="1" customHeight="1">
      <c r="A311" s="6">
        <v>307</v>
      </c>
      <c r="B311" s="16" t="str">
        <f>HYPERLINK("https://www.sigg.it/wp-content/uploads/2022/11/SIGG_2022_Programma_Definitivo.pdf","2022 - 67th National Congress on Italian Society of Gerontology and Geriatrics")</f>
        <v>2022 - 67th National Congress on Italian Society of Gerontology and Geriatrics</v>
      </c>
      <c r="C311" s="24" t="s">
        <v>15</v>
      </c>
      <c r="D311" s="17" t="s">
        <v>16</v>
      </c>
      <c r="E311" s="17" t="s">
        <v>4821</v>
      </c>
      <c r="F311" s="16" t="s">
        <v>4824</v>
      </c>
      <c r="G311" s="18">
        <v>9</v>
      </c>
      <c r="H311" s="23" t="s">
        <v>4925</v>
      </c>
      <c r="I311" s="17"/>
    </row>
    <row r="312" spans="1:9" ht="15.9" hidden="1" customHeight="1">
      <c r="A312" s="6">
        <v>308</v>
      </c>
      <c r="B312" s="16" t="str">
        <f>HYPERLINK("https://www.sigg.it/wp-content/uploads/2021/11/SIGG2021_Programma-Definitivo_rev13.pdf","2021 - 66th National Congress on Italian Society of Gerontology and Geriatrics")</f>
        <v>2021 - 66th National Congress on Italian Society of Gerontology and Geriatrics</v>
      </c>
      <c r="C312" s="24" t="s">
        <v>15</v>
      </c>
      <c r="D312" s="17" t="s">
        <v>16</v>
      </c>
      <c r="E312" s="17" t="s">
        <v>4821</v>
      </c>
      <c r="F312" s="16" t="s">
        <v>4825</v>
      </c>
      <c r="G312" s="18">
        <v>9</v>
      </c>
      <c r="H312" s="23" t="s">
        <v>4925</v>
      </c>
      <c r="I312" s="17"/>
    </row>
    <row r="313" spans="1:9" ht="15.9" hidden="1" customHeight="1">
      <c r="A313" s="6">
        <v>309</v>
      </c>
      <c r="B313" s="16" t="str">
        <f>HYPERLINK("https://www.sigg.it/wp-content/uploads/2021/01/SIGG2020_programma-scientifico_12.01.2021.pdf","2020 - 65th National Congress on Italian Society of Gerontology and Geriatrics")</f>
        <v>2020 - 65th National Congress on Italian Society of Gerontology and Geriatrics</v>
      </c>
      <c r="C313" s="24" t="s">
        <v>15</v>
      </c>
      <c r="D313" s="17" t="s">
        <v>16</v>
      </c>
      <c r="E313" s="17" t="s">
        <v>4821</v>
      </c>
      <c r="F313" s="16" t="s">
        <v>4826</v>
      </c>
      <c r="G313" s="18">
        <v>9</v>
      </c>
      <c r="H313" s="23" t="s">
        <v>4925</v>
      </c>
      <c r="I313" s="17"/>
    </row>
    <row r="314" spans="1:9" ht="15.9" hidden="1" customHeight="1">
      <c r="A314" s="6">
        <v>310</v>
      </c>
      <c r="B314" s="16" t="str">
        <f>HYPERLINK("https://www.neuro.it/web/procedure/dati_congresso.cfm?List=WsId&amp;c1=12876","2024 - 54th Italian Society of Neurology Congress")</f>
        <v>2024 - 54th Italian Society of Neurology Congress</v>
      </c>
      <c r="C314" s="24" t="s">
        <v>15</v>
      </c>
      <c r="D314" s="17" t="s">
        <v>16</v>
      </c>
      <c r="E314" s="17" t="s">
        <v>4035</v>
      </c>
      <c r="F314" s="16" t="s">
        <v>4036</v>
      </c>
      <c r="G314" s="18">
        <v>8</v>
      </c>
      <c r="H314" s="23" t="s">
        <v>4925</v>
      </c>
      <c r="I314" s="17"/>
    </row>
    <row r="315" spans="1:9" ht="15.9" hidden="1" customHeight="1">
      <c r="A315" s="6">
        <v>311</v>
      </c>
      <c r="B315" s="16" t="str">
        <f>HYPERLINK("https://www.neuro.it/web/procedure/dati_congresso.cfm?List=WsId&amp;c1=12681","2023 - 53rd Italian Society of Neurology Congress")</f>
        <v>2023 - 53rd Italian Society of Neurology Congress</v>
      </c>
      <c r="C315" s="24" t="s">
        <v>15</v>
      </c>
      <c r="D315" s="17" t="s">
        <v>16</v>
      </c>
      <c r="E315" s="17" t="s">
        <v>4035</v>
      </c>
      <c r="F315" s="16" t="s">
        <v>4037</v>
      </c>
      <c r="G315" s="18">
        <v>8</v>
      </c>
      <c r="H315" s="23" t="s">
        <v>4925</v>
      </c>
      <c r="I315" s="17"/>
    </row>
    <row r="316" spans="1:9" ht="15.9" hidden="1" customHeight="1">
      <c r="A316" s="6">
        <v>312</v>
      </c>
      <c r="B316" s="16" t="str">
        <f>HYPERLINK("https://www.sinsec.it/wp-content/uploads/2022/10/12530_SINMilano2022rev4agg26102022.pdf","2022 - 52nd Italian Society of Neurology Congress")</f>
        <v>2022 - 52nd Italian Society of Neurology Congress</v>
      </c>
      <c r="C316" s="24" t="s">
        <v>15</v>
      </c>
      <c r="D316" s="17" t="s">
        <v>16</v>
      </c>
      <c r="E316" s="17" t="s">
        <v>4035</v>
      </c>
      <c r="F316" s="16" t="s">
        <v>4038</v>
      </c>
      <c r="G316" s="18">
        <v>8</v>
      </c>
      <c r="H316" s="23" t="s">
        <v>4925</v>
      </c>
      <c r="I316" s="17"/>
    </row>
    <row r="317" spans="1:9" ht="15.9" hidden="1" customHeight="1">
      <c r="A317" s="6">
        <v>313</v>
      </c>
      <c r="B317" s="16" t="str">
        <f>HYPERLINK("https://congressonazionalesin.it/wp-content/uploads/2020/11/SIN-Milano-V.E-DEFINITIVO-completo-agg.-26.11.2020.pdf","2020 - 51st Italian Society of Neurology Congress")</f>
        <v>2020 - 51st Italian Society of Neurology Congress</v>
      </c>
      <c r="C317" s="24" t="s">
        <v>15</v>
      </c>
      <c r="D317" s="17" t="s">
        <v>16</v>
      </c>
      <c r="E317" s="17" t="s">
        <v>4035</v>
      </c>
      <c r="F317" s="16" t="s">
        <v>4039</v>
      </c>
      <c r="G317" s="18">
        <v>8</v>
      </c>
      <c r="H317" s="23" t="s">
        <v>4925</v>
      </c>
      <c r="I317" s="17"/>
    </row>
    <row r="318" spans="1:9" ht="15.9" hidden="1" customHeight="1">
      <c r="A318" s="6">
        <v>314</v>
      </c>
      <c r="B318" s="16" t="str">
        <f>HYPERLINK("https://sinpf2024.it/programma.pdf","2024 - XXV National Congress of Italian Society of Neuropsychopharmacology")</f>
        <v>2024 - XXV National Congress of Italian Society of Neuropsychopharmacology</v>
      </c>
      <c r="C318" s="24" t="s">
        <v>15</v>
      </c>
      <c r="D318" s="17" t="s">
        <v>16</v>
      </c>
      <c r="E318" s="17" t="s">
        <v>4456</v>
      </c>
      <c r="F318" s="16" t="s">
        <v>4827</v>
      </c>
      <c r="G318" s="18">
        <v>5</v>
      </c>
      <c r="H318" s="23" t="s">
        <v>4925</v>
      </c>
      <c r="I318" s="17"/>
    </row>
    <row r="319" spans="1:9" ht="15.9" hidden="1" customHeight="1">
      <c r="A319" s="6">
        <v>315</v>
      </c>
      <c r="B319" s="16" t="str">
        <f>HYPERLINK("https://sinpf2023.it/programma.pdf","2023 - XXIV National Congress of Italian Society of Neuropsychopharmacology")</f>
        <v>2023 - XXIV National Congress of Italian Society of Neuropsychopharmacology</v>
      </c>
      <c r="C319" s="24" t="s">
        <v>15</v>
      </c>
      <c r="D319" s="17" t="s">
        <v>16</v>
      </c>
      <c r="E319" s="17" t="s">
        <v>4456</v>
      </c>
      <c r="F319" s="16" t="s">
        <v>4828</v>
      </c>
      <c r="G319" s="18">
        <v>5</v>
      </c>
      <c r="H319" s="23" t="s">
        <v>4925</v>
      </c>
      <c r="I319" s="17"/>
    </row>
    <row r="320" spans="1:9" ht="15.9" hidden="1" customHeight="1">
      <c r="A320" s="6">
        <v>316</v>
      </c>
      <c r="B320" s="16" t="str">
        <f>HYPERLINK("https://www.sigo.it/wp-content/uploads/2022/01/23%C2%B0SINPF_congresso_virtuale_2022.pdf","2022 - XXIII National Congress of Italian Society of Neuropsychopharmacology")</f>
        <v>2022 - XXIII National Congress of Italian Society of Neuropsychopharmacology</v>
      </c>
      <c r="C320" s="24" t="s">
        <v>15</v>
      </c>
      <c r="D320" s="17" t="s">
        <v>16</v>
      </c>
      <c r="E320" s="17" t="s">
        <v>4456</v>
      </c>
      <c r="F320" s="16" t="s">
        <v>4829</v>
      </c>
      <c r="G320" s="18">
        <v>5</v>
      </c>
      <c r="H320" s="23" t="s">
        <v>4925</v>
      </c>
      <c r="I320" s="17"/>
    </row>
    <row r="321" spans="1:9" ht="15.9" hidden="1" customHeight="1">
      <c r="A321" s="6">
        <v>317</v>
      </c>
      <c r="B321" s="16" t="str">
        <f>HYPERLINK("https://www.morecomunicazione.it/wp-content/uploads/2020/08/xxii-congresso-nazionale-sinpf.pdf","2021 - XXII National Congress of Italian Society of Neuropsychopharmacology")</f>
        <v>2021 - XXII National Congress of Italian Society of Neuropsychopharmacology</v>
      </c>
      <c r="C321" s="24" t="s">
        <v>15</v>
      </c>
      <c r="D321" s="17" t="s">
        <v>16</v>
      </c>
      <c r="E321" s="17" t="s">
        <v>4456</v>
      </c>
      <c r="F321" s="16" t="s">
        <v>4830</v>
      </c>
      <c r="G321" s="18">
        <v>5</v>
      </c>
      <c r="H321" s="23" t="s">
        <v>4925</v>
      </c>
      <c r="I321" s="17"/>
    </row>
    <row r="322" spans="1:9" ht="15.9" hidden="1" customHeight="1">
      <c r="A322" s="6">
        <v>318</v>
      </c>
      <c r="B322" s="16" t="str">
        <f>HYPERLINK("https://sinpf.it/wp-content/uploads/2020/01/Programma-SINPF-2020-Ultimo.pdf","2020 - XXI National Congress of Italian Society of Neuropsychopharmacology")</f>
        <v>2020 - XXI National Congress of Italian Society of Neuropsychopharmacology</v>
      </c>
      <c r="C322" s="24" t="s">
        <v>15</v>
      </c>
      <c r="D322" s="17" t="s">
        <v>16</v>
      </c>
      <c r="E322" s="17" t="s">
        <v>4456</v>
      </c>
      <c r="F322" s="16" t="s">
        <v>4831</v>
      </c>
      <c r="G322" s="18">
        <v>5</v>
      </c>
      <c r="H322" s="23" t="s">
        <v>4925</v>
      </c>
      <c r="I322" s="17"/>
    </row>
    <row r="323" spans="1:9" ht="15.9" hidden="1" customHeight="1">
      <c r="A323" s="6">
        <v>319</v>
      </c>
      <c r="B323" s="16" t="str">
        <f>HYPERLINK("https://www.rounenkango.com/shuukai/29kai/pro.html","2024 - 29th Annual Meeting of the Japanese Academy of Gerontological Nursing")</f>
        <v>2024 - 29th Annual Meeting of the Japanese Academy of Gerontological Nursing</v>
      </c>
      <c r="C323" s="24" t="s">
        <v>15</v>
      </c>
      <c r="D323" s="17" t="s">
        <v>316</v>
      </c>
      <c r="E323" s="17" t="s">
        <v>4832</v>
      </c>
      <c r="F323" s="16" t="s">
        <v>4833</v>
      </c>
      <c r="G323" s="18">
        <v>9</v>
      </c>
      <c r="H323" s="23" t="s">
        <v>4925</v>
      </c>
      <c r="I323" s="17"/>
    </row>
    <row r="324" spans="1:9" ht="15.9" hidden="1" customHeight="1">
      <c r="A324" s="6">
        <v>320</v>
      </c>
      <c r="B324" s="16" t="str">
        <f>HYPERLINK("https://www.rounenkango.com/shuukai/28kai/pro.html#link02","2023 - 28th Annual Meeting of the Japanese Academy of Gerontological Nursing")</f>
        <v>2023 - 28th Annual Meeting of the Japanese Academy of Gerontological Nursing</v>
      </c>
      <c r="C324" s="24" t="s">
        <v>15</v>
      </c>
      <c r="D324" s="17" t="s">
        <v>316</v>
      </c>
      <c r="E324" s="17" t="s">
        <v>4832</v>
      </c>
      <c r="F324" s="16" t="s">
        <v>4834</v>
      </c>
      <c r="G324" s="18">
        <v>9</v>
      </c>
      <c r="H324" s="23" t="s">
        <v>4925</v>
      </c>
      <c r="I324" s="17"/>
    </row>
    <row r="325" spans="1:9" ht="15.9" hidden="1" customHeight="1">
      <c r="A325" s="6">
        <v>321</v>
      </c>
      <c r="B325" s="16" t="str">
        <f>HYPERLINK("https://www.rounenkango.com/shuukai/27kai/pro.htm","2022 - 27th Annual Meeting of the Japanese Academy of Gerontological Nursing")</f>
        <v>2022 - 27th Annual Meeting of the Japanese Academy of Gerontological Nursing</v>
      </c>
      <c r="C325" s="24" t="s">
        <v>15</v>
      </c>
      <c r="D325" s="17" t="s">
        <v>316</v>
      </c>
      <c r="E325" s="17" t="s">
        <v>4832</v>
      </c>
      <c r="F325" s="16" t="s">
        <v>4835</v>
      </c>
      <c r="G325" s="18">
        <v>9</v>
      </c>
      <c r="H325" s="23" t="s">
        <v>4925</v>
      </c>
      <c r="I325" s="17"/>
    </row>
    <row r="326" spans="1:9" ht="15.9" hidden="1" customHeight="1">
      <c r="A326" s="6">
        <v>322</v>
      </c>
      <c r="B326" s="16" t="str">
        <f>HYPERLINK("https://www.rounenkango.com/shuukai/26kai/index.htm","2021 - 26th Annual Meeting of the Japanese Academy of Gerontological Nursing")</f>
        <v>2021 - 26th Annual Meeting of the Japanese Academy of Gerontological Nursing</v>
      </c>
      <c r="C326" s="24" t="s">
        <v>15</v>
      </c>
      <c r="D326" s="17" t="s">
        <v>316</v>
      </c>
      <c r="E326" s="17" t="s">
        <v>4832</v>
      </c>
      <c r="F326" s="16" t="s">
        <v>4836</v>
      </c>
      <c r="G326" s="18">
        <v>9</v>
      </c>
      <c r="H326" s="23" t="s">
        <v>4925</v>
      </c>
      <c r="I326" s="17"/>
    </row>
    <row r="327" spans="1:9" ht="15.9" hidden="1" customHeight="1">
      <c r="A327" s="6">
        <v>323</v>
      </c>
      <c r="B327" s="16" t="str">
        <f>HYPERLINK("https://www.rounenkango.com/shuukai/25kai/pro.htm","2020 - 25th Annual Meeting of the Japanese Academy of Gerontological Nursing")</f>
        <v>2020 - 25th Annual Meeting of the Japanese Academy of Gerontological Nursing</v>
      </c>
      <c r="C327" s="24" t="s">
        <v>15</v>
      </c>
      <c r="D327" s="17" t="s">
        <v>316</v>
      </c>
      <c r="E327" s="17" t="s">
        <v>4832</v>
      </c>
      <c r="F327" s="16" t="s">
        <v>4837</v>
      </c>
      <c r="G327" s="18">
        <v>9</v>
      </c>
      <c r="H327" s="23" t="s">
        <v>4925</v>
      </c>
      <c r="I327" s="17"/>
    </row>
    <row r="328" spans="1:9" ht="15.9" hidden="1" customHeight="1">
      <c r="A328" s="6">
        <v>324</v>
      </c>
      <c r="B328" s="16" t="str">
        <f>HYPERLINK("https://www.congre.co.jp/66jgs2024/program/images/66jgs_program_sitei.pdf","2024 - 66th Annual Meeting of the Japan Geriatrics Society")</f>
        <v>2024 - 66th Annual Meeting of the Japan Geriatrics Society</v>
      </c>
      <c r="C328" s="24" t="s">
        <v>15</v>
      </c>
      <c r="D328" s="17" t="s">
        <v>316</v>
      </c>
      <c r="E328" s="17" t="s">
        <v>4838</v>
      </c>
      <c r="F328" s="16" t="s">
        <v>4839</v>
      </c>
      <c r="G328" s="18">
        <v>9</v>
      </c>
      <c r="H328" s="23" t="s">
        <v>4925</v>
      </c>
      <c r="I328" s="17"/>
    </row>
    <row r="329" spans="1:9" ht="15.9" hidden="1" customHeight="1">
      <c r="A329" s="6">
        <v>325</v>
      </c>
      <c r="B329" s="16" t="str">
        <f>HYPERLINK("https://www.jpn-geriat-soc.or.jp/shukai_tihou/shukai/boshu_65.html","2023 - 65th Annual Meeting of the Japan Geriatrics Society")</f>
        <v>2023 - 65th Annual Meeting of the Japan Geriatrics Society</v>
      </c>
      <c r="C329" s="24" t="s">
        <v>15</v>
      </c>
      <c r="D329" s="17" t="s">
        <v>316</v>
      </c>
      <c r="E329" s="17" t="s">
        <v>4838</v>
      </c>
      <c r="F329" s="16" t="s">
        <v>4840</v>
      </c>
      <c r="G329" s="18">
        <v>9</v>
      </c>
      <c r="H329" s="23" t="s">
        <v>4925</v>
      </c>
      <c r="I329" s="17"/>
    </row>
    <row r="330" spans="1:9" ht="15.9" hidden="1" customHeight="1">
      <c r="A330" s="6">
        <v>326</v>
      </c>
      <c r="B330" s="16" t="str">
        <f>HYPERLINK("https://www.congre.co.jp/64jgs/data/prog_sponsor.pdf","2022 - 64th Annual Meeting of the Japan Geriatrics Society")</f>
        <v>2022 - 64th Annual Meeting of the Japan Geriatrics Society</v>
      </c>
      <c r="C330" s="24" t="s">
        <v>15</v>
      </c>
      <c r="D330" s="17" t="s">
        <v>316</v>
      </c>
      <c r="E330" s="17" t="s">
        <v>4838</v>
      </c>
      <c r="F330" s="16" t="s">
        <v>4841</v>
      </c>
      <c r="G330" s="18">
        <v>9</v>
      </c>
      <c r="H330" s="23" t="s">
        <v>4925</v>
      </c>
      <c r="I330" s="17"/>
    </row>
    <row r="331" spans="1:9" ht="15.9" hidden="1" customHeight="1">
      <c r="A331" s="6">
        <v>327</v>
      </c>
      <c r="B331" s="16" t="str">
        <f>HYPERLINK("https://site2.convention.co.jp/63jgs/program/","2021 - 63rd Annual Meeting of the Japan Geriatrics Society")</f>
        <v>2021 - 63rd Annual Meeting of the Japan Geriatrics Society</v>
      </c>
      <c r="C331" s="24" t="s">
        <v>15</v>
      </c>
      <c r="D331" s="17" t="s">
        <v>316</v>
      </c>
      <c r="E331" s="17" t="s">
        <v>4838</v>
      </c>
      <c r="F331" s="16" t="s">
        <v>4842</v>
      </c>
      <c r="G331" s="18">
        <v>9</v>
      </c>
      <c r="H331" s="23" t="s">
        <v>4925</v>
      </c>
      <c r="I331" s="17"/>
    </row>
    <row r="332" spans="1:9" ht="15.9" hidden="1" customHeight="1">
      <c r="A332" s="6">
        <v>328</v>
      </c>
      <c r="B332" s="16" t="str">
        <f>HYPERLINK("http://jgs62.umin.jp/program.html","2020 - 62nd Annual Meeting of the Japan Geriatrics Society")</f>
        <v>2020 - 62nd Annual Meeting of the Japan Geriatrics Society</v>
      </c>
      <c r="C332" s="24" t="s">
        <v>15</v>
      </c>
      <c r="D332" s="17" t="s">
        <v>316</v>
      </c>
      <c r="E332" s="17" t="s">
        <v>4838</v>
      </c>
      <c r="F332" s="16" t="s">
        <v>4843</v>
      </c>
      <c r="G332" s="18">
        <v>9</v>
      </c>
      <c r="H332" s="23" t="s">
        <v>4925</v>
      </c>
      <c r="I332" s="17"/>
    </row>
    <row r="333" spans="1:9" ht="15.9" hidden="1" customHeight="1">
      <c r="A333" s="6">
        <v>329</v>
      </c>
      <c r="B333" s="16" t="str">
        <f>HYPERLINK("https://www.congre.co.jp/japh13/program/index.html","2024 - 13th Annual Meeting of the Japanese Psychiatric Medical Association")</f>
        <v>2024 - 13th Annual Meeting of the Japanese Psychiatric Medical Association</v>
      </c>
      <c r="C333" s="24" t="s">
        <v>15</v>
      </c>
      <c r="D333" s="17" t="s">
        <v>316</v>
      </c>
      <c r="E333" s="17" t="s">
        <v>4040</v>
      </c>
      <c r="F333" s="16" t="s">
        <v>4041</v>
      </c>
      <c r="G333" s="18">
        <v>4</v>
      </c>
      <c r="H333" s="23" t="s">
        <v>4925</v>
      </c>
      <c r="I333" s="17"/>
    </row>
    <row r="334" spans="1:9" ht="15.9" hidden="1" customHeight="1">
      <c r="A334" s="6">
        <v>330</v>
      </c>
      <c r="B334" s="16" t="str">
        <f>HYPERLINK("https://www.c-linkage.co.jp/japh12/program.html","2023 - The 12th Annual Meeting of the Japan Psychiatric Medical Conference")</f>
        <v>2023 - The 12th Annual Meeting of the Japan Psychiatric Medical Conference</v>
      </c>
      <c r="C334" s="24" t="s">
        <v>15</v>
      </c>
      <c r="D334" s="17" t="s">
        <v>316</v>
      </c>
      <c r="E334" s="17" t="s">
        <v>4040</v>
      </c>
      <c r="F334" s="16" t="s">
        <v>4042</v>
      </c>
      <c r="G334" s="18">
        <v>4</v>
      </c>
      <c r="H334" s="23" t="s">
        <v>4925</v>
      </c>
      <c r="I334" s="17"/>
    </row>
    <row r="335" spans="1:9" ht="15.9" hidden="1" customHeight="1">
      <c r="A335" s="6">
        <v>331</v>
      </c>
      <c r="B335" s="16" t="str">
        <f>HYPERLINK("https://www.nisseikyo.or.jp/news/topic/detail.php?@DB_ID@=602","2022 - The 11th Annual Meeting of the Japan Psychiatric Medical Conference")</f>
        <v>2022 - The 11th Annual Meeting of the Japan Psychiatric Medical Conference</v>
      </c>
      <c r="C335" s="24" t="s">
        <v>15</v>
      </c>
      <c r="D335" s="17" t="s">
        <v>316</v>
      </c>
      <c r="E335" s="17" t="s">
        <v>4040</v>
      </c>
      <c r="F335" s="16" t="s">
        <v>4043</v>
      </c>
      <c r="G335" s="18">
        <v>4</v>
      </c>
      <c r="H335" s="23" t="s">
        <v>4925</v>
      </c>
      <c r="I335" s="17"/>
    </row>
    <row r="336" spans="1:9" ht="15.9" hidden="1" customHeight="1">
      <c r="A336" s="6">
        <v>332</v>
      </c>
      <c r="B336" s="16" t="str">
        <f>HYPERLINK("https://www.nisseikyo.or.jp/news/topic/detail.php?@DB_ID@=588","2021 - The 10th Annual Meeting of the Japan Psychiatric Medical Conference")</f>
        <v>2021 - The 10th Annual Meeting of the Japan Psychiatric Medical Conference</v>
      </c>
      <c r="C336" s="24" t="s">
        <v>15</v>
      </c>
      <c r="D336" s="17" t="s">
        <v>316</v>
      </c>
      <c r="E336" s="17" t="s">
        <v>4040</v>
      </c>
      <c r="F336" s="16" t="s">
        <v>4044</v>
      </c>
      <c r="G336" s="18">
        <v>4</v>
      </c>
      <c r="H336" s="23" t="s">
        <v>4925</v>
      </c>
      <c r="I336" s="17"/>
    </row>
    <row r="337" spans="1:9" ht="15.9" hidden="1" customHeight="1">
      <c r="A337" s="6">
        <v>333</v>
      </c>
      <c r="B337" s="16" t="str">
        <f>HYPERLINK("https://cs-oto3.com/jabct2024/program.html","2024 - 50th Anniversary Conference of the Japanese Association of Cognitive and Behavioral Therapy")</f>
        <v>2024 - 50th Anniversary Conference of the Japanese Association of Cognitive and Behavioral Therapy</v>
      </c>
      <c r="C337" s="24" t="s">
        <v>15</v>
      </c>
      <c r="D337" s="17" t="s">
        <v>316</v>
      </c>
      <c r="E337" s="17" t="s">
        <v>4045</v>
      </c>
      <c r="F337" s="16" t="s">
        <v>4046</v>
      </c>
      <c r="G337" s="18">
        <v>8</v>
      </c>
      <c r="H337" s="23" t="s">
        <v>4925</v>
      </c>
      <c r="I337" s="17"/>
    </row>
    <row r="338" spans="1:9" ht="15.9" hidden="1" customHeight="1">
      <c r="A338" s="6">
        <v>334</v>
      </c>
      <c r="B338" s="16" t="str">
        <f>HYPERLINK("https://cs-oto3.com/jabct2023/program.html","2023 - 49th Annual Conference of the Japanese Association of Cognitive and Behavioral Therapy")</f>
        <v>2023 - 49th Annual Conference of the Japanese Association of Cognitive and Behavioral Therapy</v>
      </c>
      <c r="C338" s="24" t="s">
        <v>15</v>
      </c>
      <c r="D338" s="17" t="s">
        <v>316</v>
      </c>
      <c r="E338" s="17" t="s">
        <v>4045</v>
      </c>
      <c r="F338" s="16" t="s">
        <v>4047</v>
      </c>
      <c r="G338" s="18">
        <v>8</v>
      </c>
      <c r="H338" s="23" t="s">
        <v>4925</v>
      </c>
      <c r="I338" s="17"/>
    </row>
    <row r="339" spans="1:9" ht="15.9" hidden="1" customHeight="1">
      <c r="A339" s="6">
        <v>335</v>
      </c>
      <c r="B339" s="16" t="str">
        <f>HYPERLINK("https://cs-oto3.com/jabct2022/program.html","2022 - 48th Annual Conference of the Japanese Association of Cognitive and Behavioral Therapy")</f>
        <v>2022 - 48th Annual Conference of the Japanese Association of Cognitive and Behavioral Therapy</v>
      </c>
      <c r="C339" s="24" t="s">
        <v>15</v>
      </c>
      <c r="D339" s="17" t="s">
        <v>316</v>
      </c>
      <c r="E339" s="17" t="s">
        <v>4045</v>
      </c>
      <c r="F339" s="16" t="s">
        <v>4048</v>
      </c>
      <c r="G339" s="18">
        <v>8</v>
      </c>
      <c r="H339" s="23" t="s">
        <v>4925</v>
      </c>
      <c r="I339" s="17"/>
    </row>
    <row r="340" spans="1:9" ht="15.9" hidden="1" customHeight="1">
      <c r="A340" s="6">
        <v>336</v>
      </c>
      <c r="B340" s="16" t="str">
        <f>HYPERLINK("https://www.m-messe.co.jp/event/detail/6670","2021 - 47th Annual Conference of the Japanese Association of Cognitive and Behavioral Therapy")</f>
        <v>2021 - 47th Annual Conference of the Japanese Association of Cognitive and Behavioral Therapy</v>
      </c>
      <c r="C340" s="24" t="s">
        <v>15</v>
      </c>
      <c r="D340" s="17" t="s">
        <v>316</v>
      </c>
      <c r="E340" s="17" t="s">
        <v>4045</v>
      </c>
      <c r="F340" s="16" t="s">
        <v>4049</v>
      </c>
      <c r="G340" s="18">
        <v>8</v>
      </c>
      <c r="H340" s="23" t="s">
        <v>4925</v>
      </c>
      <c r="I340" s="17"/>
    </row>
    <row r="341" spans="1:9" ht="15.9" hidden="1" customHeight="1">
      <c r="A341" s="6">
        <v>337</v>
      </c>
      <c r="B341" s="16" t="str">
        <f>HYPERLINK("https://www.cs-oto.com/jabct2020/index.html","2020 - 46th Annual Conference of the Japanese Association of Cognitive and Behavioral Therapy")</f>
        <v>2020 - 46th Annual Conference of the Japanese Association of Cognitive and Behavioral Therapy</v>
      </c>
      <c r="C341" s="24" t="s">
        <v>15</v>
      </c>
      <c r="D341" s="17" t="s">
        <v>316</v>
      </c>
      <c r="E341" s="17" t="s">
        <v>4045</v>
      </c>
      <c r="F341" s="16" t="s">
        <v>4050</v>
      </c>
      <c r="G341" s="18">
        <v>8</v>
      </c>
      <c r="H341" s="23" t="s">
        <v>4925</v>
      </c>
      <c r="I341" s="17"/>
    </row>
    <row r="342" spans="1:9" ht="15.9" hidden="1" customHeight="1">
      <c r="A342" s="6">
        <v>338</v>
      </c>
      <c r="B342" s="16" t="str">
        <f>HYPERLINK("https://convention.jtbcom.co.jp/jspc2024/program/index.html","2024 - 1st Annual Meeting of the Japanese Society of Outpatient Psychiatry")</f>
        <v>2024 - 1st Annual Meeting of the Japanese Society of Outpatient Psychiatry</v>
      </c>
      <c r="C342" s="24" t="s">
        <v>15</v>
      </c>
      <c r="D342" s="17" t="s">
        <v>316</v>
      </c>
      <c r="E342" s="17" t="s">
        <v>4051</v>
      </c>
      <c r="F342" s="16" t="s">
        <v>4052</v>
      </c>
      <c r="G342" s="18">
        <v>4</v>
      </c>
      <c r="H342" s="23" t="s">
        <v>4925</v>
      </c>
      <c r="I342" s="17"/>
    </row>
    <row r="343" spans="1:9" ht="15.9" hidden="1" customHeight="1">
      <c r="A343" s="6">
        <v>339</v>
      </c>
      <c r="B343" s="16" t="str">
        <f>HYPERLINK("https://neuro2024.jnss.org/program.html","2024 - 46th Annual Meeting of the Japanese Society of Biological Psychiatry")</f>
        <v>2024 - 46th Annual Meeting of the Japanese Society of Biological Psychiatry</v>
      </c>
      <c r="C343" s="24" t="s">
        <v>15</v>
      </c>
      <c r="D343" s="17" t="s">
        <v>316</v>
      </c>
      <c r="E343" s="17" t="s">
        <v>4053</v>
      </c>
      <c r="F343" s="16" t="s">
        <v>4054</v>
      </c>
      <c r="G343" s="18">
        <v>4</v>
      </c>
      <c r="H343" s="23" t="s">
        <v>4925</v>
      </c>
      <c r="I343" s="17"/>
    </row>
    <row r="344" spans="1:9" ht="15.9" hidden="1" customHeight="1">
      <c r="A344" s="6">
        <v>340</v>
      </c>
      <c r="B344" s="16" t="str">
        <f>HYPERLINK("https://www.okinawa-congre.co.jp/jsbp2023/files/program.pdf","2023 - 45th Annual Meeting of the Japanese Society of Biological Psychiatry")</f>
        <v>2023 - 45th Annual Meeting of the Japanese Society of Biological Psychiatry</v>
      </c>
      <c r="C344" s="24" t="s">
        <v>15</v>
      </c>
      <c r="D344" s="17" t="s">
        <v>316</v>
      </c>
      <c r="E344" s="17" t="s">
        <v>4053</v>
      </c>
      <c r="F344" s="16" t="s">
        <v>4055</v>
      </c>
      <c r="G344" s="18">
        <v>4</v>
      </c>
      <c r="H344" s="23" t="s">
        <v>4925</v>
      </c>
      <c r="I344" s="17"/>
    </row>
    <row r="345" spans="1:9" ht="15.9" hidden="1" customHeight="1">
      <c r="A345" s="6">
        <v>341</v>
      </c>
      <c r="B345" s="16" t="str">
        <f>HYPERLINK("http://bpcnpnppp2022.umin.jp/program.html","2022 - 44th Annual Meeting of the Japanese Society of Biological Psychiatry")</f>
        <v>2022 - 44th Annual Meeting of the Japanese Society of Biological Psychiatry</v>
      </c>
      <c r="C345" s="24" t="s">
        <v>15</v>
      </c>
      <c r="D345" s="17" t="s">
        <v>316</v>
      </c>
      <c r="E345" s="17" t="s">
        <v>4053</v>
      </c>
      <c r="F345" s="16" t="s">
        <v>4056</v>
      </c>
      <c r="G345" s="18">
        <v>4</v>
      </c>
      <c r="H345" s="23" t="s">
        <v>4925</v>
      </c>
      <c r="I345" s="17"/>
    </row>
    <row r="346" spans="1:9" ht="15.9" hidden="1" customHeight="1">
      <c r="A346" s="6">
        <v>342</v>
      </c>
      <c r="B346" s="16" t="str">
        <f>HYPERLINK("https://www2.aeplan.co.jp/bpnp2021/program.html","2021 - The 43rd Annual Meeting of the Japanese Society of Biological Psychiatry (JSBP) and The 51st Annual Meeting of the Japanese Society of Neuropsychopharmacology (JSNP)")</f>
        <v>2021 - The 43rd Annual Meeting of the Japanese Society of Biological Psychiatry (JSBP) and The 51st Annual Meeting of the Japanese Society of Neuropsychopharmacology (JSNP)</v>
      </c>
      <c r="C346" s="24" t="s">
        <v>15</v>
      </c>
      <c r="D346" s="17" t="s">
        <v>316</v>
      </c>
      <c r="E346" s="17" t="s">
        <v>4053</v>
      </c>
      <c r="F346" s="16" t="s">
        <v>4057</v>
      </c>
      <c r="G346" s="18">
        <v>5</v>
      </c>
      <c r="H346" s="23" t="s">
        <v>4925</v>
      </c>
      <c r="I346" s="17"/>
    </row>
    <row r="347" spans="1:9" ht="15.9" hidden="1" customHeight="1">
      <c r="A347" s="6">
        <v>343</v>
      </c>
      <c r="B347" s="16" t="str">
        <f>HYPERLINK("https://www.c-linkage.co.jp/jscnp2023/program.html","2023 - 33rd Annual Meeting of the Japanese Society of Clinical Neuropsychopharmacology")</f>
        <v>2023 - 33rd Annual Meeting of the Japanese Society of Clinical Neuropsychopharmacology</v>
      </c>
      <c r="C347" s="24" t="s">
        <v>15</v>
      </c>
      <c r="D347" s="17" t="s">
        <v>316</v>
      </c>
      <c r="E347" s="17" t="s">
        <v>424</v>
      </c>
      <c r="F347" s="16" t="s">
        <v>4058</v>
      </c>
      <c r="G347" s="18">
        <v>5</v>
      </c>
      <c r="H347" s="23" t="s">
        <v>4925</v>
      </c>
      <c r="I347" s="17"/>
    </row>
    <row r="348" spans="1:9" ht="15.9" hidden="1" customHeight="1">
      <c r="A348" s="6">
        <v>344</v>
      </c>
      <c r="B348" s="16" t="str">
        <f>HYPERLINK("https://www2.aeplan.co.jp/jscnp2021/program.html","2021 - 31st Annual Meeting of the Japanese Society of Clinical Neuropsychopharmacology")</f>
        <v>2021 - 31st Annual Meeting of the Japanese Society of Clinical Neuropsychopharmacology</v>
      </c>
      <c r="C348" s="24" t="s">
        <v>15</v>
      </c>
      <c r="D348" s="17" t="s">
        <v>316</v>
      </c>
      <c r="E348" s="17" t="s">
        <v>424</v>
      </c>
      <c r="F348" s="16" t="s">
        <v>4059</v>
      </c>
      <c r="G348" s="18">
        <v>5</v>
      </c>
      <c r="H348" s="23" t="s">
        <v>4925</v>
      </c>
      <c r="I348" s="17"/>
    </row>
    <row r="349" spans="1:9" ht="15.9" hidden="1" customHeight="1">
      <c r="A349" s="6">
        <v>345</v>
      </c>
      <c r="B349" s="16" t="str">
        <f>HYPERLINK("https://www.neurology-jp.org/neuro2024/aocn2024/program/download.html","2024 - 65th Annual Meeting of the Japanese Society of Neurology &amp; 19th Asian Oceanian Congress of Neurology")</f>
        <v>2024 - 65th Annual Meeting of the Japanese Society of Neurology &amp; 19th Asian Oceanian Congress of Neurology</v>
      </c>
      <c r="C349" s="24" t="s">
        <v>15</v>
      </c>
      <c r="D349" s="17" t="s">
        <v>316</v>
      </c>
      <c r="E349" s="17" t="s">
        <v>4060</v>
      </c>
      <c r="F349" s="16" t="s">
        <v>4061</v>
      </c>
      <c r="G349" s="18">
        <v>8</v>
      </c>
      <c r="H349" s="23" t="s">
        <v>4925</v>
      </c>
      <c r="I349" s="17"/>
    </row>
    <row r="350" spans="1:9" ht="15.9" hidden="1" customHeight="1">
      <c r="A350" s="6">
        <v>346</v>
      </c>
      <c r="B350" s="16" t="str">
        <f>HYPERLINK("https://www.neurology-jp.org/neuro2023/en/program/download.html","2023 - 64th Annual Meeting of the Japanese Society of Neurology")</f>
        <v>2023 - 64th Annual Meeting of the Japanese Society of Neurology</v>
      </c>
      <c r="C350" s="24" t="s">
        <v>15</v>
      </c>
      <c r="D350" s="17" t="s">
        <v>316</v>
      </c>
      <c r="E350" s="17" t="s">
        <v>4060</v>
      </c>
      <c r="F350" s="16" t="s">
        <v>4062</v>
      </c>
      <c r="G350" s="18">
        <v>8</v>
      </c>
      <c r="H350" s="23" t="s">
        <v>4925</v>
      </c>
      <c r="I350" s="17"/>
    </row>
    <row r="351" spans="1:9" ht="15.9" hidden="1" customHeight="1">
      <c r="A351" s="6">
        <v>347</v>
      </c>
      <c r="B351" s="16" t="str">
        <f>HYPERLINK("https://www.neurology-jp.org/neuro2022/en/program/download.html","2022 - 63rd Annual Meeting of the Japanese Society of Neurology")</f>
        <v>2022 - 63rd Annual Meeting of the Japanese Society of Neurology</v>
      </c>
      <c r="C351" s="24" t="s">
        <v>15</v>
      </c>
      <c r="D351" s="17" t="s">
        <v>316</v>
      </c>
      <c r="E351" s="17" t="s">
        <v>4060</v>
      </c>
      <c r="F351" s="16" t="s">
        <v>4063</v>
      </c>
      <c r="G351" s="18">
        <v>8</v>
      </c>
      <c r="H351" s="23" t="s">
        <v>4925</v>
      </c>
      <c r="I351" s="17"/>
    </row>
    <row r="352" spans="1:9" ht="15.9" hidden="1" customHeight="1">
      <c r="A352" s="6">
        <v>348</v>
      </c>
      <c r="B352" s="16" t="str">
        <f>HYPERLINK("https://www.neurology-jp.org/neuro2021/en/program/download.html","2021 - 62nd Annual Meeting of the Japanese Society of Neurology")</f>
        <v>2021 - 62nd Annual Meeting of the Japanese Society of Neurology</v>
      </c>
      <c r="C352" s="24" t="s">
        <v>15</v>
      </c>
      <c r="D352" s="17" t="s">
        <v>316</v>
      </c>
      <c r="E352" s="17" t="s">
        <v>4060</v>
      </c>
      <c r="F352" s="16" t="s">
        <v>4064</v>
      </c>
      <c r="G352" s="18">
        <v>8</v>
      </c>
      <c r="H352" s="23" t="s">
        <v>4925</v>
      </c>
      <c r="I352" s="17"/>
    </row>
    <row r="353" spans="1:9" ht="15.9" hidden="1" customHeight="1">
      <c r="A353" s="6">
        <v>349</v>
      </c>
      <c r="B353" s="16" t="str">
        <f>HYPERLINK("https://www.neurology-jp.org/neuro2020/en/program/download.html","2020 - 61st Annual Meeting of the Japanese Society of Neurology")</f>
        <v>2020 - 61st Annual Meeting of the Japanese Society of Neurology</v>
      </c>
      <c r="C353" s="24" t="s">
        <v>15</v>
      </c>
      <c r="D353" s="17" t="s">
        <v>316</v>
      </c>
      <c r="E353" s="17" t="s">
        <v>4060</v>
      </c>
      <c r="F353" s="16" t="s">
        <v>4065</v>
      </c>
      <c r="G353" s="18">
        <v>8</v>
      </c>
      <c r="H353" s="23" t="s">
        <v>4925</v>
      </c>
      <c r="I353" s="17"/>
    </row>
    <row r="354" spans="1:9" ht="15.9" hidden="1" customHeight="1">
      <c r="A354" s="6">
        <v>350</v>
      </c>
      <c r="B354" s="16" t="str">
        <f>HYPERLINK("https://med-gakkai.jp/jssr18/pro/","2024 - 18th Annual Meeting of the Japanese Society of Schizophrenia")</f>
        <v>2024 - 18th Annual Meeting of the Japanese Society of Schizophrenia</v>
      </c>
      <c r="C354" s="24" t="s">
        <v>15</v>
      </c>
      <c r="D354" s="17" t="s">
        <v>316</v>
      </c>
      <c r="E354" s="17" t="s">
        <v>4066</v>
      </c>
      <c r="F354" s="16" t="s">
        <v>4067</v>
      </c>
      <c r="G354" s="25">
        <v>1</v>
      </c>
      <c r="H354" s="23" t="s">
        <v>371</v>
      </c>
      <c r="I354" s="17"/>
    </row>
    <row r="355" spans="1:9" ht="15.9" hidden="1" customHeight="1">
      <c r="A355" s="6">
        <v>351</v>
      </c>
      <c r="B355" s="16" t="str">
        <f>HYPERLINK("https://jssr17.camphor.jp/schedule/","2023 - 17th Annual Meeting of the Japanese Society of Schizophrenia")</f>
        <v>2023 - 17th Annual Meeting of the Japanese Society of Schizophrenia</v>
      </c>
      <c r="C355" s="24" t="s">
        <v>15</v>
      </c>
      <c r="D355" s="17" t="s">
        <v>316</v>
      </c>
      <c r="E355" s="17" t="s">
        <v>4066</v>
      </c>
      <c r="F355" s="16" t="s">
        <v>4068</v>
      </c>
      <c r="G355" s="25">
        <v>1</v>
      </c>
      <c r="H355" s="23" t="s">
        <v>371</v>
      </c>
      <c r="I355" s="17"/>
    </row>
    <row r="356" spans="1:9" ht="15.9" hidden="1" customHeight="1">
      <c r="A356" s="6">
        <v>352</v>
      </c>
      <c r="B356" s="16" t="str">
        <f>HYPERLINK("https://jssr16.camphor.jp/outline/","2022 - 16th Annual Meeting of the Japanese Society of Schizophrenia")</f>
        <v>2022 - 16th Annual Meeting of the Japanese Society of Schizophrenia</v>
      </c>
      <c r="C356" s="24" t="s">
        <v>15</v>
      </c>
      <c r="D356" s="17" t="s">
        <v>316</v>
      </c>
      <c r="E356" s="17" t="s">
        <v>4066</v>
      </c>
      <c r="F356" s="16" t="s">
        <v>4069</v>
      </c>
      <c r="G356" s="25">
        <v>1</v>
      </c>
      <c r="H356" s="23" t="s">
        <v>371</v>
      </c>
      <c r="I356" s="17"/>
    </row>
    <row r="357" spans="1:9" ht="15.9" hidden="1" customHeight="1">
      <c r="A357" s="6">
        <v>353</v>
      </c>
      <c r="B357" s="16" t="str">
        <f>HYPERLINK("https://www.c-linkage.co.jp/jssr15/program/","2021 - 15th Annual Meeting of the Japanese Society of Schizophrenia")</f>
        <v>2021 - 15th Annual Meeting of the Japanese Society of Schizophrenia</v>
      </c>
      <c r="C357" s="24" t="s">
        <v>15</v>
      </c>
      <c r="D357" s="17" t="s">
        <v>316</v>
      </c>
      <c r="E357" s="17" t="s">
        <v>4066</v>
      </c>
      <c r="F357" s="16" t="s">
        <v>4070</v>
      </c>
      <c r="G357" s="25">
        <v>1</v>
      </c>
      <c r="H357" s="23" t="s">
        <v>371</v>
      </c>
      <c r="I357" s="17"/>
    </row>
    <row r="358" spans="1:9" ht="15.9" hidden="1" customHeight="1">
      <c r="A358" s="6">
        <v>354</v>
      </c>
      <c r="B358" s="16" t="str">
        <f>HYPERLINK("https://seishinhoken.jp/files/events__contents__doc/src/01j285xq9b6qsnfa1hm0y867nk.pdf","2024 - 16th National Mental Health Welfare Family Conference")</f>
        <v>2024 - 16th National Mental Health Welfare Family Conference</v>
      </c>
      <c r="C358" s="24" t="s">
        <v>15</v>
      </c>
      <c r="D358" s="17" t="s">
        <v>316</v>
      </c>
      <c r="E358" s="17" t="s">
        <v>4071</v>
      </c>
      <c r="F358" s="16" t="s">
        <v>4072</v>
      </c>
      <c r="G358" s="18">
        <v>4</v>
      </c>
      <c r="H358" s="23" t="s">
        <v>4925</v>
      </c>
      <c r="I358" s="17"/>
    </row>
    <row r="359" spans="1:9" ht="15.9" hidden="1" customHeight="1">
      <c r="A359" s="6">
        <v>355</v>
      </c>
      <c r="B359" s="16" t="str">
        <f>HYPERLINK("https://irumakikansoudan.hatenablog.jp/entry/2023/09/15/","2023 - 15th National Mental Health Welfare Family Conference")</f>
        <v>2023 - 15th National Mental Health Welfare Family Conference</v>
      </c>
      <c r="C359" s="24" t="s">
        <v>15</v>
      </c>
      <c r="D359" s="17" t="s">
        <v>316</v>
      </c>
      <c r="E359" s="17" t="s">
        <v>4071</v>
      </c>
      <c r="F359" s="16" t="s">
        <v>4073</v>
      </c>
      <c r="G359" s="18">
        <v>4</v>
      </c>
      <c r="H359" s="23" t="s">
        <v>4925</v>
      </c>
      <c r="I359" s="17"/>
    </row>
    <row r="360" spans="1:9" ht="15.9" hidden="1" customHeight="1">
      <c r="A360" s="6">
        <v>356</v>
      </c>
      <c r="B360" s="16" t="str">
        <f>HYPERLINK("https://seishinhoken.jp/events/01gbcshvyr8gprw72qyv1t7bce","2022 - 14th National Mental Health Welfare Family Conference")</f>
        <v>2022 - 14th National Mental Health Welfare Family Conference</v>
      </c>
      <c r="C360" s="24" t="s">
        <v>15</v>
      </c>
      <c r="D360" s="17" t="s">
        <v>316</v>
      </c>
      <c r="E360" s="17" t="s">
        <v>4071</v>
      </c>
      <c r="F360" s="16" t="s">
        <v>4074</v>
      </c>
      <c r="G360" s="18">
        <v>4</v>
      </c>
      <c r="H360" s="23" t="s">
        <v>4925</v>
      </c>
      <c r="I360" s="17"/>
    </row>
    <row r="361" spans="1:9" ht="15.9" hidden="1" customHeight="1">
      <c r="A361" s="6">
        <v>357</v>
      </c>
      <c r="B361" s="16" t="str">
        <f>HYPERLINK("https://naj48.jp/pdf/timetable.pdf","2024 - 48th Annual Meeting of the Japanese Society of Neuropsychology")</f>
        <v>2024 - 48th Annual Meeting of the Japanese Society of Neuropsychology</v>
      </c>
      <c r="C361" s="24" t="s">
        <v>15</v>
      </c>
      <c r="D361" s="17" t="s">
        <v>316</v>
      </c>
      <c r="E361" s="17" t="s">
        <v>4075</v>
      </c>
      <c r="F361" s="16" t="s">
        <v>4076</v>
      </c>
      <c r="G361" s="18">
        <v>5</v>
      </c>
      <c r="H361" s="23" t="s">
        <v>4925</v>
      </c>
      <c r="I361" s="17"/>
    </row>
    <row r="362" spans="1:9" ht="15.9" hidden="1" customHeight="1">
      <c r="A362" s="6">
        <v>358</v>
      </c>
      <c r="B362" s="16" t="str">
        <f>HYPERLINK("https://med-gakkai.jp/naj47/pro/","2023 - 47th Annual Meeting of the Japanese Society of Neuropsychology")</f>
        <v>2023 - 47th Annual Meeting of the Japanese Society of Neuropsychology</v>
      </c>
      <c r="C362" s="24" t="s">
        <v>15</v>
      </c>
      <c r="D362" s="17" t="s">
        <v>316</v>
      </c>
      <c r="E362" s="17" t="s">
        <v>4075</v>
      </c>
      <c r="F362" s="16" t="s">
        <v>4077</v>
      </c>
      <c r="G362" s="18">
        <v>5</v>
      </c>
      <c r="H362" s="23" t="s">
        <v>4925</v>
      </c>
      <c r="I362" s="17"/>
    </row>
    <row r="363" spans="1:9" ht="15.9" hidden="1" customHeight="1">
      <c r="A363" s="6">
        <v>359</v>
      </c>
      <c r="B363" s="16" t="str">
        <f>HYPERLINK("http://naj46.umin.jp/program.html","2022 - 46th Annual Meeting of the Japanese Society of Neuropsychology")</f>
        <v>2022 - 46th Annual Meeting of the Japanese Society of Neuropsychology</v>
      </c>
      <c r="C363" s="24" t="s">
        <v>15</v>
      </c>
      <c r="D363" s="17" t="s">
        <v>316</v>
      </c>
      <c r="E363" s="17" t="s">
        <v>4075</v>
      </c>
      <c r="F363" s="16" t="s">
        <v>4078</v>
      </c>
      <c r="G363" s="18">
        <v>5</v>
      </c>
      <c r="H363" s="23" t="s">
        <v>4925</v>
      </c>
      <c r="I363" s="17"/>
    </row>
    <row r="364" spans="1:9" ht="15.9" hidden="1" customHeight="1">
      <c r="A364" s="6">
        <v>360</v>
      </c>
      <c r="B364" s="16" t="str">
        <f>HYPERLINK("http://naj45.umin.jp/program.html","2021 - 45th Annual Meeting of the Japanese Society of Neuropsychology")</f>
        <v>2021 - 45th Annual Meeting of the Japanese Society of Neuropsychology</v>
      </c>
      <c r="C364" s="24" t="s">
        <v>15</v>
      </c>
      <c r="D364" s="17" t="s">
        <v>316</v>
      </c>
      <c r="E364" s="17" t="s">
        <v>4075</v>
      </c>
      <c r="F364" s="16" t="s">
        <v>4079</v>
      </c>
      <c r="G364" s="18">
        <v>5</v>
      </c>
      <c r="H364" s="23" t="s">
        <v>4925</v>
      </c>
      <c r="I364" s="17"/>
    </row>
    <row r="365" spans="1:9" ht="15.9" hidden="1" customHeight="1">
      <c r="A365" s="6">
        <v>361</v>
      </c>
      <c r="B365" s="16" t="str">
        <f>HYPERLINK("http://naj44.umin.jp/program.html","2020 - 44th Annual Meeting of the Japanese Society of Neuropsychology")</f>
        <v>2020 - 44th Annual Meeting of the Japanese Society of Neuropsychology</v>
      </c>
      <c r="C365" s="24" t="s">
        <v>15</v>
      </c>
      <c r="D365" s="17" t="s">
        <v>316</v>
      </c>
      <c r="E365" s="17" t="s">
        <v>4075</v>
      </c>
      <c r="F365" s="16" t="s">
        <v>4080</v>
      </c>
      <c r="G365" s="18">
        <v>5</v>
      </c>
      <c r="H365" s="23" t="s">
        <v>4925</v>
      </c>
      <c r="I365" s="17"/>
    </row>
    <row r="366" spans="1:9" ht="15.9" hidden="1" customHeight="1">
      <c r="A366" s="6">
        <v>362</v>
      </c>
      <c r="B366" s="16" t="str">
        <f>HYPERLINK("https://www.kwcs.jp/jna29/","2024 - 29th Annual Meeting of the Japanese Neuropsychiatric Association")</f>
        <v>2024 - 29th Annual Meeting of the Japanese Neuropsychiatric Association</v>
      </c>
      <c r="C366" s="24" t="s">
        <v>15</v>
      </c>
      <c r="D366" s="17" t="s">
        <v>316</v>
      </c>
      <c r="E366" s="17" t="s">
        <v>4081</v>
      </c>
      <c r="F366" s="16" t="s">
        <v>4082</v>
      </c>
      <c r="G366" s="18">
        <v>3</v>
      </c>
      <c r="H366" s="23" t="s">
        <v>4325</v>
      </c>
      <c r="I366" s="17"/>
    </row>
    <row r="367" spans="1:9" ht="15.9" hidden="1" customHeight="1">
      <c r="A367" s="6">
        <v>363</v>
      </c>
      <c r="B367" s="16" t="str">
        <f>HYPERLINK("https://jna28.org/timetable.html","2023 - 28th Annual Meeting of the Japanese Neuropsychiatric Association")</f>
        <v>2023 - 28th Annual Meeting of the Japanese Neuropsychiatric Association</v>
      </c>
      <c r="C367" s="24" t="s">
        <v>15</v>
      </c>
      <c r="D367" s="17" t="s">
        <v>316</v>
      </c>
      <c r="E367" s="17" t="s">
        <v>4081</v>
      </c>
      <c r="F367" s="16" t="s">
        <v>4083</v>
      </c>
      <c r="G367" s="18">
        <v>3</v>
      </c>
      <c r="H367" s="23" t="s">
        <v>4325</v>
      </c>
      <c r="I367" s="17"/>
    </row>
    <row r="368" spans="1:9" ht="15.9" hidden="1" customHeight="1">
      <c r="A368" s="6">
        <v>364</v>
      </c>
      <c r="B368" s="16" t="str">
        <f>HYPERLINK("https://jna27.secand.net/img/program.pdf","2022 - 27th Annual Meeting of the Japanese Neuropsychiatric Association")</f>
        <v>2022 - 27th Annual Meeting of the Japanese Neuropsychiatric Association</v>
      </c>
      <c r="C368" s="24" t="s">
        <v>15</v>
      </c>
      <c r="D368" s="17" t="s">
        <v>316</v>
      </c>
      <c r="E368" s="17" t="s">
        <v>4081</v>
      </c>
      <c r="F368" s="16" t="s">
        <v>4084</v>
      </c>
      <c r="G368" s="18">
        <v>3</v>
      </c>
      <c r="H368" s="23" t="s">
        <v>4325</v>
      </c>
      <c r="I368" s="17"/>
    </row>
    <row r="369" spans="1:9" ht="15.9" hidden="1" customHeight="1">
      <c r="A369" s="6">
        <v>365</v>
      </c>
      <c r="B369" s="16" t="str">
        <f>HYPERLINK("http://184.73.219.23/shinkei/ivent.htm","2021 - 26th Annual Meeting of the Japanese Society of Neuropsychiatry")</f>
        <v>2021 - 26th Annual Meeting of the Japanese Society of Neuropsychiatry</v>
      </c>
      <c r="C369" s="24" t="s">
        <v>15</v>
      </c>
      <c r="D369" s="17" t="s">
        <v>316</v>
      </c>
      <c r="E369" s="17" t="s">
        <v>4081</v>
      </c>
      <c r="F369" s="16" t="s">
        <v>4085</v>
      </c>
      <c r="G369" s="18">
        <v>3</v>
      </c>
      <c r="H369" s="23" t="s">
        <v>4325</v>
      </c>
      <c r="I369" s="17"/>
    </row>
    <row r="370" spans="1:9" ht="15.9" hidden="1" customHeight="1">
      <c r="A370" s="6">
        <v>366</v>
      </c>
      <c r="B370" s="16" t="str">
        <f>HYPERLINK("https://www.c-linkage.co.jp/jsnp53/program.html","2023 - 53rd Annual Meeting of the Japanese Society of Neuropsychopharmacology")</f>
        <v>2023 - 53rd Annual Meeting of the Japanese Society of Neuropsychopharmacology</v>
      </c>
      <c r="C370" s="24" t="s">
        <v>15</v>
      </c>
      <c r="D370" s="17" t="s">
        <v>316</v>
      </c>
      <c r="E370" s="17" t="s">
        <v>4086</v>
      </c>
      <c r="F370" s="16" t="s">
        <v>4087</v>
      </c>
      <c r="G370" s="18">
        <v>5</v>
      </c>
      <c r="H370" s="23" t="s">
        <v>4925</v>
      </c>
      <c r="I370" s="17"/>
    </row>
    <row r="371" spans="1:9" ht="15.9" hidden="1" customHeight="1">
      <c r="A371" s="6">
        <v>367</v>
      </c>
      <c r="B371" s="16" t="str">
        <f>HYPERLINK("http://bpcnpnppp2022.umin.jp/program.html","2022 - 52nd Annual Meeting of the Japanese Society of Neuropsychopharmacology")</f>
        <v>2022 - 52nd Annual Meeting of the Japanese Society of Neuropsychopharmacology</v>
      </c>
      <c r="C371" s="24" t="s">
        <v>15</v>
      </c>
      <c r="D371" s="17" t="s">
        <v>316</v>
      </c>
      <c r="E371" s="17" t="s">
        <v>4086</v>
      </c>
      <c r="F371" s="16" t="s">
        <v>4056</v>
      </c>
      <c r="G371" s="18">
        <v>5</v>
      </c>
      <c r="H371" s="23" t="s">
        <v>4925</v>
      </c>
      <c r="I371" s="17"/>
    </row>
    <row r="372" spans="1:9" ht="15.9" hidden="1" customHeight="1">
      <c r="A372" s="6">
        <v>368</v>
      </c>
      <c r="B372" s="16" t="str">
        <f>HYPERLINK("https://www.c-linkage.co.jp/npbppp2020/program.html","2020 - 50th Annual Meeting of the Japanese Society of Neuropsychopharmacology")</f>
        <v>2020 - 50th Annual Meeting of the Japanese Society of Neuropsychopharmacology</v>
      </c>
      <c r="C372" s="24" t="s">
        <v>15</v>
      </c>
      <c r="D372" s="17" t="s">
        <v>316</v>
      </c>
      <c r="E372" s="17" t="s">
        <v>4086</v>
      </c>
      <c r="F372" s="16" t="s">
        <v>4088</v>
      </c>
      <c r="G372" s="18">
        <v>5</v>
      </c>
      <c r="H372" s="23" t="s">
        <v>4925</v>
      </c>
      <c r="I372" s="17"/>
    </row>
    <row r="373" spans="1:9" ht="15.9" hidden="1" customHeight="1">
      <c r="A373" s="6">
        <v>369</v>
      </c>
      <c r="B373" s="42" t="str">
        <f>HYPERLINK("https://confit.atlas.jp/guide/event/jsnpjscnp2024/tables","2024 - 54th Annual Meeting of the Japanese Society of Neuropsychopharmacology and 34th Annual Meeting of the Japanese Society of Clinical Neuropsychopharmacology")</f>
        <v>2024 - 54th Annual Meeting of the Japanese Society of Neuropsychopharmacology and 34th Annual Meeting of the Japanese Society of Clinical Neuropsychopharmacology</v>
      </c>
      <c r="C373" s="24" t="s">
        <v>15</v>
      </c>
      <c r="D373" s="17" t="s">
        <v>316</v>
      </c>
      <c r="E373" s="17" t="s">
        <v>4089</v>
      </c>
      <c r="F373" s="16" t="s">
        <v>4090</v>
      </c>
      <c r="G373" s="18">
        <v>5</v>
      </c>
      <c r="H373" s="23" t="s">
        <v>4925</v>
      </c>
      <c r="I373" s="17"/>
    </row>
    <row r="374" spans="1:9" ht="15.9" hidden="1" customHeight="1">
      <c r="A374" s="6">
        <v>370</v>
      </c>
      <c r="B374" s="16" t="str">
        <f>HYPERLINK("https://www.c-linkage.co.jp/jspn120/program_en.html","2024 - 120th Annual Meeting of the Japanese Society of Psychiatry and Neurology")</f>
        <v>2024 - 120th Annual Meeting of the Japanese Society of Psychiatry and Neurology</v>
      </c>
      <c r="C374" s="24" t="s">
        <v>15</v>
      </c>
      <c r="D374" s="17" t="s">
        <v>316</v>
      </c>
      <c r="E374" s="17" t="s">
        <v>4091</v>
      </c>
      <c r="F374" s="16" t="s">
        <v>4092</v>
      </c>
      <c r="G374" s="18">
        <v>4</v>
      </c>
      <c r="H374" s="23" t="s">
        <v>4925</v>
      </c>
      <c r="I374" s="17"/>
    </row>
    <row r="375" spans="1:9" ht="15.9" hidden="1" customHeight="1">
      <c r="A375" s="6">
        <v>371</v>
      </c>
      <c r="B375" s="16" t="str">
        <f>HYPERLINK("https://www.c-linkage.co.jp/jspn119/doc/program_collection.pdf?2306061122","2023 - 119th Annual Meeting of the Japanese Society of Psychiatry and Neurology")</f>
        <v>2023 - 119th Annual Meeting of the Japanese Society of Psychiatry and Neurology</v>
      </c>
      <c r="C375" s="24" t="s">
        <v>15</v>
      </c>
      <c r="D375" s="17" t="s">
        <v>316</v>
      </c>
      <c r="E375" s="17" t="s">
        <v>4091</v>
      </c>
      <c r="F375" s="16" t="s">
        <v>5003</v>
      </c>
      <c r="G375" s="18">
        <v>4</v>
      </c>
      <c r="H375" s="23" t="s">
        <v>4925</v>
      </c>
      <c r="I375" s="17"/>
    </row>
    <row r="376" spans="1:9" ht="15.9" hidden="1" customHeight="1">
      <c r="A376" s="6">
        <v>372</v>
      </c>
      <c r="B376" s="16" t="str">
        <f>HYPERLINK("https://brainminds.jp/en/public_event/post15284/","2022 - 118th Annual Meeting of the Japanese Society of Psychiatry and Neurology")</f>
        <v>2022 - 118th Annual Meeting of the Japanese Society of Psychiatry and Neurology</v>
      </c>
      <c r="C376" s="24" t="s">
        <v>15</v>
      </c>
      <c r="D376" s="17" t="s">
        <v>316</v>
      </c>
      <c r="E376" s="17" t="s">
        <v>4091</v>
      </c>
      <c r="F376" s="16" t="s">
        <v>4093</v>
      </c>
      <c r="G376" s="18">
        <v>4</v>
      </c>
      <c r="H376" s="23" t="s">
        <v>4925</v>
      </c>
      <c r="I376" s="17"/>
    </row>
    <row r="377" spans="1:9" ht="15.9" hidden="1" customHeight="1">
      <c r="A377" s="6">
        <v>373</v>
      </c>
      <c r="B377" s="16" t="str">
        <f>HYPERLINK("https://www.congre.co.jp/jspn117/program.html","2021 - 117th Annual Meeting of the Japanese Society of Psychiatry and Neurology")</f>
        <v>2021 - 117th Annual Meeting of the Japanese Society of Psychiatry and Neurology</v>
      </c>
      <c r="C377" s="24" t="s">
        <v>15</v>
      </c>
      <c r="D377" s="17" t="s">
        <v>316</v>
      </c>
      <c r="E377" s="17" t="s">
        <v>4091</v>
      </c>
      <c r="F377" s="16" t="s">
        <v>5004</v>
      </c>
      <c r="G377" s="18">
        <v>4</v>
      </c>
      <c r="H377" s="23" t="s">
        <v>4925</v>
      </c>
      <c r="I377" s="17"/>
    </row>
    <row r="378" spans="1:9" ht="15.9" hidden="1" customHeight="1">
      <c r="A378" s="6">
        <v>374</v>
      </c>
      <c r="B378" s="16" t="str">
        <f>HYPERLINK("https://www.c-linkage.co.jp/jspn116/pdf/program_all.pdf","2020 - 116th Annual Meeting of the Japanese Society of Psychiatry and Neurology")</f>
        <v>2020 - 116th Annual Meeting of the Japanese Society of Psychiatry and Neurology</v>
      </c>
      <c r="C378" s="24" t="s">
        <v>15</v>
      </c>
      <c r="D378" s="17" t="s">
        <v>316</v>
      </c>
      <c r="E378" s="17" t="s">
        <v>4091</v>
      </c>
      <c r="F378" s="16" t="s">
        <v>5005</v>
      </c>
      <c r="G378" s="18">
        <v>4</v>
      </c>
      <c r="H378" s="23" t="s">
        <v>4925</v>
      </c>
      <c r="I378" s="17"/>
    </row>
    <row r="379" spans="1:9" ht="15.9" hidden="1" customHeight="1">
      <c r="A379" s="6">
        <v>375</v>
      </c>
      <c r="B379" s="16" t="str">
        <f>HYPERLINK("https://congresofanpse.org/2024/","2024 - XV National Congress of Neuropsychology")</f>
        <v>2024 - XV National Congress of Neuropsychology</v>
      </c>
      <c r="C379" s="24" t="s">
        <v>15</v>
      </c>
      <c r="D379" s="17" t="s">
        <v>311</v>
      </c>
      <c r="E379" s="17" t="s">
        <v>4094</v>
      </c>
      <c r="F379" s="16" t="s">
        <v>4095</v>
      </c>
      <c r="G379" s="18">
        <v>5</v>
      </c>
      <c r="H379" s="23" t="s">
        <v>4925</v>
      </c>
      <c r="I379" s="17"/>
    </row>
    <row r="380" spans="1:9" ht="15.9" hidden="1" customHeight="1">
      <c r="A380" s="6">
        <v>376</v>
      </c>
      <c r="B380" s="16" t="str">
        <f>HYPERLINK("https://bipeek-resources-onsite-prd.s3.amazonaws.com/31344/FANPSE-PROGRAMA.pdf?v=1686750559","2023 - XIV National Congress of Neuropsychology")</f>
        <v>2023 - XIV National Congress of Neuropsychology</v>
      </c>
      <c r="C380" s="24" t="s">
        <v>15</v>
      </c>
      <c r="D380" s="17" t="s">
        <v>311</v>
      </c>
      <c r="E380" s="17" t="s">
        <v>4094</v>
      </c>
      <c r="F380" s="16" t="s">
        <v>5018</v>
      </c>
      <c r="G380" s="18">
        <v>5</v>
      </c>
      <c r="H380" s="23" t="s">
        <v>4925</v>
      </c>
      <c r="I380" s="17"/>
    </row>
    <row r="381" spans="1:9" ht="15.9" hidden="1" customHeight="1">
      <c r="A381" s="6">
        <v>377</v>
      </c>
      <c r="B381" s="16" t="str">
        <f>HYPERLINK("https://www.neuropsicologiaaragon.org/post/xiii-congreso-neuropsicolog%C3%ADa-fanpse","2022 - XIII National Congress of Neuropsychology")</f>
        <v>2022 - XIII National Congress of Neuropsychology</v>
      </c>
      <c r="C381" s="24" t="s">
        <v>15</v>
      </c>
      <c r="D381" s="17" t="s">
        <v>311</v>
      </c>
      <c r="E381" s="17" t="s">
        <v>4094</v>
      </c>
      <c r="F381" s="16" t="s">
        <v>4096</v>
      </c>
      <c r="G381" s="18">
        <v>5</v>
      </c>
      <c r="H381" s="23" t="s">
        <v>4925</v>
      </c>
      <c r="I381" s="17"/>
    </row>
    <row r="382" spans="1:9" ht="15.9" hidden="1" customHeight="1">
      <c r="A382" s="6">
        <v>378</v>
      </c>
      <c r="B382" s="16" t="str">
        <f>HYPERLINK("https://www.fundacioncerebroysalud.es/2020/03/11/cna-patrocina-xii-congreso-nacional-neuropsicologia-fanspe-celebrado-sevilla-los-dias-5-7-marzo/","2021 - XII National Congress of Neuropsychology")</f>
        <v>2021 - XII National Congress of Neuropsychology</v>
      </c>
      <c r="C382" s="24" t="s">
        <v>15</v>
      </c>
      <c r="D382" s="17" t="s">
        <v>311</v>
      </c>
      <c r="E382" s="17" t="s">
        <v>4094</v>
      </c>
      <c r="F382" s="16" t="s">
        <v>4097</v>
      </c>
      <c r="G382" s="18">
        <v>5</v>
      </c>
      <c r="H382" s="23" t="s">
        <v>4925</v>
      </c>
      <c r="I382" s="17"/>
    </row>
    <row r="383" spans="1:9" ht="15.9" hidden="1" customHeight="1">
      <c r="A383" s="6">
        <v>379</v>
      </c>
      <c r="B383" s="16" t="str">
        <f>HYPERLINK("https://aepnya.es/wp-content/uploads/2024/05/PROGRAMA-formato-cerrado-a5_67-AEPNYA-1.pdf","2024 - 67th National Congress of Spanish Association of Child and Adolescent Psychiatry (AEPNYA)")</f>
        <v>2024 - 67th National Congress of Spanish Association of Child and Adolescent Psychiatry (AEPNYA)</v>
      </c>
      <c r="C383" s="24" t="s">
        <v>15</v>
      </c>
      <c r="D383" s="17" t="s">
        <v>311</v>
      </c>
      <c r="E383" s="17" t="s">
        <v>4098</v>
      </c>
      <c r="F383" s="16" t="s">
        <v>4099</v>
      </c>
      <c r="G383" s="18">
        <v>4</v>
      </c>
      <c r="H383" s="23" t="s">
        <v>4925</v>
      </c>
      <c r="I383" s="17"/>
    </row>
    <row r="384" spans="1:9" ht="15.9" hidden="1" customHeight="1">
      <c r="A384" s="6">
        <v>380</v>
      </c>
      <c r="B384" s="16" t="str">
        <f>HYPERLINK("https://aepnya.es/wp-content/uploads/2023/06/DEF_PRGM_VLC_AEPNYA66_b2-1.pdf","2023 - 66th National Congress of Spanish Association of Child and Adolescent Psychiatry (AEPNYA)")</f>
        <v>2023 - 66th National Congress of Spanish Association of Child and Adolescent Psychiatry (AEPNYA)</v>
      </c>
      <c r="C384" s="24" t="s">
        <v>15</v>
      </c>
      <c r="D384" s="17" t="s">
        <v>311</v>
      </c>
      <c r="E384" s="17" t="s">
        <v>4098</v>
      </c>
      <c r="F384" s="16" t="s">
        <v>4100</v>
      </c>
      <c r="G384" s="18">
        <v>4</v>
      </c>
      <c r="H384" s="23" t="s">
        <v>4925</v>
      </c>
      <c r="I384" s="17"/>
    </row>
    <row r="385" spans="1:9" ht="15.9" hidden="1" customHeight="1">
      <c r="A385" s="6">
        <v>381</v>
      </c>
      <c r="B385" s="16" t="str">
        <f>HYPERLINK("https://aepnya.es/wp-content/uploads/2022/11/AEPNYA_2022_Prog_A5_6as_web.pdf","2022 - 65th National Congress of Spanish Association of Child and Adolescent Psychiatry (AEPNYA)")</f>
        <v>2022 - 65th National Congress of Spanish Association of Child and Adolescent Psychiatry (AEPNYA)</v>
      </c>
      <c r="C385" s="24" t="s">
        <v>15</v>
      </c>
      <c r="D385" s="17" t="s">
        <v>311</v>
      </c>
      <c r="E385" s="17" t="s">
        <v>4098</v>
      </c>
      <c r="F385" s="16" t="s">
        <v>4101</v>
      </c>
      <c r="G385" s="18">
        <v>4</v>
      </c>
      <c r="H385" s="23" t="s">
        <v>4925</v>
      </c>
      <c r="I385" s="17"/>
    </row>
    <row r="386" spans="1:9" ht="15.9" hidden="1" customHeight="1">
      <c r="A386" s="6">
        <v>382</v>
      </c>
      <c r="B386" s="16" t="str">
        <f>HYPERLINK("https://aepnya.es/wp-content/uploads/2022/11/PROGRAMA-AEPNYA-1.pdf","2021 - 64th National Congress of Spanish Association of Child and Adolescent Psychiatry (AEPNYA)")</f>
        <v>2021 - 64th National Congress of Spanish Association of Child and Adolescent Psychiatry (AEPNYA)</v>
      </c>
      <c r="C386" s="24" t="s">
        <v>15</v>
      </c>
      <c r="D386" s="17" t="s">
        <v>311</v>
      </c>
      <c r="E386" s="17" t="s">
        <v>4098</v>
      </c>
      <c r="F386" s="16" t="s">
        <v>4102</v>
      </c>
      <c r="G386" s="18">
        <v>4</v>
      </c>
      <c r="H386" s="23" t="s">
        <v>4925</v>
      </c>
      <c r="I386" s="17"/>
    </row>
    <row r="387" spans="1:9" ht="15.9" hidden="1" customHeight="1">
      <c r="A387" s="6">
        <v>383</v>
      </c>
      <c r="B387" s="16" t="str">
        <f>HYPERLINK("https://consaludmental.org/congreso-salud-mental/","2023 - XXII Congress of the Mental Health Confederation of Spain")</f>
        <v>2023 - XXII Congress of the Mental Health Confederation of Spain</v>
      </c>
      <c r="C387" s="24" t="s">
        <v>15</v>
      </c>
      <c r="D387" s="17" t="s">
        <v>311</v>
      </c>
      <c r="E387" s="17" t="s">
        <v>4103</v>
      </c>
      <c r="F387" s="16" t="s">
        <v>4104</v>
      </c>
      <c r="G387" s="18">
        <v>4</v>
      </c>
      <c r="H387" s="23" t="s">
        <v>4925</v>
      </c>
      <c r="I387" s="17"/>
    </row>
    <row r="388" spans="1:9" ht="15.9" hidden="1" customHeight="1">
      <c r="A388" s="6">
        <v>384</v>
      </c>
      <c r="B388" s="16" t="str">
        <f>HYPERLINK("https://consaludmental.org/multimedia/xxi-congreso-salud-mental/","2021 - XXI Congress of the Mental Health Confederation of Spain")</f>
        <v>2021 - XXI Congress of the Mental Health Confederation of Spain</v>
      </c>
      <c r="C388" s="24" t="s">
        <v>15</v>
      </c>
      <c r="D388" s="17" t="s">
        <v>311</v>
      </c>
      <c r="E388" s="17" t="s">
        <v>4103</v>
      </c>
      <c r="F388" s="16" t="s">
        <v>4105</v>
      </c>
      <c r="G388" s="18">
        <v>4</v>
      </c>
      <c r="H388" s="23" t="s">
        <v>4925</v>
      </c>
      <c r="I388" s="17"/>
    </row>
    <row r="389" spans="1:9" ht="15.9" hidden="1" customHeight="1">
      <c r="A389" s="6">
        <v>385</v>
      </c>
      <c r="B389" s="16" t="str">
        <f>HYPERLINK("https://congresos.sepypna.com/wp-content/uploads/2024/04/2024-Programa-Congreso-SEPYPNA.pdf","2024 - XXXV National Congress of Spanish Society of Child and Adolescent Psychiatry and Psychotherapy")</f>
        <v>2024 - XXXV National Congress of Spanish Society of Child and Adolescent Psychiatry and Psychotherapy</v>
      </c>
      <c r="C389" s="24" t="s">
        <v>15</v>
      </c>
      <c r="D389" s="17" t="s">
        <v>311</v>
      </c>
      <c r="E389" s="17" t="s">
        <v>4106</v>
      </c>
      <c r="F389" s="16" t="s">
        <v>4107</v>
      </c>
      <c r="G389" s="18">
        <v>4</v>
      </c>
      <c r="H389" s="23" t="s">
        <v>4925</v>
      </c>
      <c r="I389" s="17"/>
    </row>
    <row r="390" spans="1:9" ht="15.9" hidden="1" customHeight="1">
      <c r="A390" s="6">
        <v>386</v>
      </c>
      <c r="B390" s="16" t="str">
        <f>HYPERLINK("https://www.feap.es/images/feap/documentos/Formacion/SEPYPNA%20Programa%20Congreso%202023.pdf","2023 - XXXIV National Congress of Spanish Society of Child and Adolescent Psychiatry and Psychotherapy")</f>
        <v>2023 - XXXIV National Congress of Spanish Society of Child and Adolescent Psychiatry and Psychotherapy</v>
      </c>
      <c r="C390" s="24" t="s">
        <v>15</v>
      </c>
      <c r="D390" s="17" t="s">
        <v>311</v>
      </c>
      <c r="E390" s="17" t="s">
        <v>4106</v>
      </c>
      <c r="F390" s="16" t="s">
        <v>4108</v>
      </c>
      <c r="G390" s="18">
        <v>4</v>
      </c>
      <c r="H390" s="23" t="s">
        <v>4925</v>
      </c>
      <c r="I390" s="17"/>
    </row>
    <row r="391" spans="1:9" ht="15.9" hidden="1" customHeight="1">
      <c r="A391" s="6">
        <v>387</v>
      </c>
      <c r="B391" s="16" t="str">
        <f>HYPERLINK("https://congresos.sepypna.com/wp-content/uploads/2022/04/Programa_SEPYPNA-2022.pdf","2022 - XXXIII National Congress of Spanish Society of Child and Adolescent Psychiatry and Psychotherapy")</f>
        <v>2022 - XXXIII National Congress of Spanish Society of Child and Adolescent Psychiatry and Psychotherapy</v>
      </c>
      <c r="C391" s="24" t="s">
        <v>15</v>
      </c>
      <c r="D391" s="17" t="s">
        <v>311</v>
      </c>
      <c r="E391" s="17" t="s">
        <v>4106</v>
      </c>
      <c r="F391" s="16" t="s">
        <v>4109</v>
      </c>
      <c r="G391" s="18">
        <v>4</v>
      </c>
      <c r="H391" s="23" t="s">
        <v>4925</v>
      </c>
      <c r="I391" s="17"/>
    </row>
    <row r="392" spans="1:9" ht="15.9" hidden="1" customHeight="1">
      <c r="A392" s="6">
        <v>388</v>
      </c>
      <c r="B392" s="16" t="str">
        <f>HYPERLINK("https://www.sepypna.com/documentos/2021-XXXII-Congreso-Online.pdf","2021 - XXXII National Congress of Spanish Society of Child and Adolescent Psychiatry and Psychotherapy")</f>
        <v>2021 - XXXII National Congress of Spanish Society of Child and Adolescent Psychiatry and Psychotherapy</v>
      </c>
      <c r="C392" s="24" t="s">
        <v>15</v>
      </c>
      <c r="D392" s="17" t="s">
        <v>311</v>
      </c>
      <c r="E392" s="17" t="s">
        <v>4106</v>
      </c>
      <c r="F392" s="16" t="s">
        <v>4110</v>
      </c>
      <c r="G392" s="18">
        <v>4</v>
      </c>
      <c r="H392" s="23" t="s">
        <v>4925</v>
      </c>
      <c r="I392" s="17"/>
    </row>
    <row r="393" spans="1:9" ht="15.9" hidden="1" customHeight="1">
      <c r="A393" s="6">
        <v>389</v>
      </c>
      <c r="B393" s="16" t="str">
        <f>HYPERLINK("https://congresos.sepypna.com/wp-content/uploads/2020/03/2020-XXXII-Congreso-Santiago.pdf","2020 - XXXI National Congress of Spanish Society of Child and Adolescent Psychiatry and Psychotherapy")</f>
        <v>2020 - XXXI National Congress of Spanish Society of Child and Adolescent Psychiatry and Psychotherapy</v>
      </c>
      <c r="C393" s="24" t="s">
        <v>15</v>
      </c>
      <c r="D393" s="17" t="s">
        <v>311</v>
      </c>
      <c r="E393" s="17" t="s">
        <v>4106</v>
      </c>
      <c r="F393" s="16" t="s">
        <v>4111</v>
      </c>
      <c r="G393" s="18">
        <v>4</v>
      </c>
      <c r="H393" s="23" t="s">
        <v>4925</v>
      </c>
      <c r="I393" s="17"/>
    </row>
    <row r="394" spans="1:9" ht="15.9" hidden="1" customHeight="1">
      <c r="A394" s="6">
        <v>390</v>
      </c>
      <c r="B394" s="16" t="str">
        <f>HYPERLINK("https://seegg.es/congresos-seegg/congreso-seegg-2024/","2024 - XXX National Congress of The Spanish Society of Geriatric and Gerontological Nursing")</f>
        <v>2024 - XXX National Congress of The Spanish Society of Geriatric and Gerontological Nursing</v>
      </c>
      <c r="C394" s="24" t="s">
        <v>15</v>
      </c>
      <c r="D394" s="17" t="s">
        <v>311</v>
      </c>
      <c r="E394" s="17" t="s">
        <v>4844</v>
      </c>
      <c r="F394" s="16" t="s">
        <v>4845</v>
      </c>
      <c r="G394" s="18">
        <v>9</v>
      </c>
      <c r="H394" s="23" t="s">
        <v>4925</v>
      </c>
      <c r="I394" s="17"/>
    </row>
    <row r="395" spans="1:9" ht="15.9" hidden="1" customHeight="1">
      <c r="A395" s="6">
        <v>391</v>
      </c>
      <c r="B395" s="16" t="str">
        <f>HYPERLINK("https://www.enferalba.com/files/sabiasque/documentos/seegg2023programav1.pdf","2023 - XXIX National Congress of The Spanish Society of Geriatric and Gerontological Nursing")</f>
        <v>2023 - XXIX National Congress of The Spanish Society of Geriatric and Gerontological Nursing</v>
      </c>
      <c r="C395" s="24" t="s">
        <v>15</v>
      </c>
      <c r="D395" s="17" t="s">
        <v>311</v>
      </c>
      <c r="E395" s="17" t="s">
        <v>4844</v>
      </c>
      <c r="F395" s="16" t="s">
        <v>4846</v>
      </c>
      <c r="G395" s="18">
        <v>9</v>
      </c>
      <c r="H395" s="23" t="s">
        <v>4925</v>
      </c>
      <c r="I395" s="17"/>
    </row>
    <row r="396" spans="1:9" ht="15.9" hidden="1" customHeight="1">
      <c r="A396" s="6">
        <v>392</v>
      </c>
      <c r="B396" s="16" t="str">
        <f>HYPERLINK("https://seegg.es/wp-content/uploads/2022/03/SEEGG-2022-Programa-v7-1.pdf","2022 - XVIII National Congress of the Spanish Society of Geriatric and Gerontological Nursing and 3rd Ibero-American Congress")</f>
        <v>2022 - XVIII National Congress of the Spanish Society of Geriatric and Gerontological Nursing and 3rd Ibero-American Congress</v>
      </c>
      <c r="C396" s="24" t="s">
        <v>15</v>
      </c>
      <c r="D396" s="17" t="s">
        <v>311</v>
      </c>
      <c r="E396" s="17" t="s">
        <v>4844</v>
      </c>
      <c r="F396" s="16" t="s">
        <v>4847</v>
      </c>
      <c r="G396" s="18">
        <v>9</v>
      </c>
      <c r="H396" s="23" t="s">
        <v>4925</v>
      </c>
      <c r="I396" s="17"/>
    </row>
    <row r="397" spans="1:9" ht="15.9" hidden="1" customHeight="1">
      <c r="A397" s="6">
        <v>393</v>
      </c>
      <c r="B397" s="16" t="str">
        <f>HYPERLINK("https://seegg.es/wp-content/uploads/2021/04/SEEGG_2021_Programa_v9.pdf","2021 - XXVII National Congress of The Spanish Society of Geriatric and Gerontological Nursing")</f>
        <v>2021 - XXVII National Congress of The Spanish Society of Geriatric and Gerontological Nursing</v>
      </c>
      <c r="C397" s="24" t="s">
        <v>15</v>
      </c>
      <c r="D397" s="17" t="s">
        <v>311</v>
      </c>
      <c r="E397" s="17" t="s">
        <v>4844</v>
      </c>
      <c r="F397" s="16" t="s">
        <v>4848</v>
      </c>
      <c r="G397" s="18">
        <v>9</v>
      </c>
      <c r="H397" s="23" t="s">
        <v>4925</v>
      </c>
      <c r="I397" s="17"/>
    </row>
    <row r="398" spans="1:9" ht="15.9" hidden="1" customHeight="1">
      <c r="A398" s="6">
        <v>394</v>
      </c>
      <c r="B398" s="16" t="str">
        <f>HYPERLINK("https://geriatria2023.com/images/site/QR-Programa_SEGG_A5.pdf","2023 - 63rd Congress of The Spanish Society of Geriatrics and Gerontology")</f>
        <v>2023 - 63rd Congress of The Spanish Society of Geriatrics and Gerontology</v>
      </c>
      <c r="C398" s="24" t="s">
        <v>15</v>
      </c>
      <c r="D398" s="17" t="s">
        <v>311</v>
      </c>
      <c r="E398" s="17" t="s">
        <v>4849</v>
      </c>
      <c r="F398" s="16" t="s">
        <v>4850</v>
      </c>
      <c r="G398" s="18">
        <v>9</v>
      </c>
      <c r="H398" s="23" t="s">
        <v>4925</v>
      </c>
      <c r="I398" s="17"/>
    </row>
    <row r="399" spans="1:9" ht="15.9" hidden="1" customHeight="1">
      <c r="A399" s="6">
        <v>395</v>
      </c>
      <c r="B399" s="16" t="str">
        <f>HYPERLINK("https://geriatria2024.com/images/site/QR_ProgramaSEGG_2024.pdf","2024 - 64th Congress of The Spanish Society of Geriatrics and Gerontology and The 44th Congress of the Andalusian Society of Geriatrics and Gerontology")</f>
        <v>2024 - 64th Congress of The Spanish Society of Geriatrics and Gerontology and The 44th Congress of the Andalusian Society of Geriatrics and Gerontology</v>
      </c>
      <c r="C399" s="24" t="s">
        <v>15</v>
      </c>
      <c r="D399" s="17" t="s">
        <v>311</v>
      </c>
      <c r="E399" s="17" t="s">
        <v>4851</v>
      </c>
      <c r="F399" s="16" t="s">
        <v>4852</v>
      </c>
      <c r="G399" s="18">
        <v>9</v>
      </c>
      <c r="H399" s="23" t="s">
        <v>4925</v>
      </c>
      <c r="I399" s="17"/>
    </row>
    <row r="400" spans="1:9" ht="15.9" hidden="1" customHeight="1">
      <c r="A400" s="6">
        <v>396</v>
      </c>
      <c r="B400" s="16" t="str">
        <f>HYPERLINK("https://www.geriatria2022.com/images/site/Programa_SEGG.pdf","2022 - 62nd Congress of The Spanish Society of Geriatrics and Gerontology and The 23rd Congress of The Madrid Society of Geriatrics and Gerontology")</f>
        <v>2022 - 62nd Congress of The Spanish Society of Geriatrics and Gerontology and The 23rd Congress of The Madrid Society of Geriatrics and Gerontology</v>
      </c>
      <c r="C400" s="24" t="s">
        <v>15</v>
      </c>
      <c r="D400" s="17" t="s">
        <v>311</v>
      </c>
      <c r="E400" s="17" t="s">
        <v>4853</v>
      </c>
      <c r="F400" s="16" t="s">
        <v>4854</v>
      </c>
      <c r="G400" s="18">
        <v>9</v>
      </c>
      <c r="H400" s="23" t="s">
        <v>4925</v>
      </c>
      <c r="I400" s="17"/>
    </row>
    <row r="401" spans="1:9" ht="15.9" hidden="1" customHeight="1">
      <c r="A401" s="6">
        <v>397</v>
      </c>
      <c r="B401" s="16" t="str">
        <f>HYPERLINK("https://reunion.sen.es/index.php/#programa","2024 - 76th Annual Meeting of the Spanish Society of Neurology")</f>
        <v>2024 - 76th Annual Meeting of the Spanish Society of Neurology</v>
      </c>
      <c r="C401" s="24" t="s">
        <v>15</v>
      </c>
      <c r="D401" s="17" t="s">
        <v>311</v>
      </c>
      <c r="E401" s="17" t="s">
        <v>4116</v>
      </c>
      <c r="F401" s="16" t="s">
        <v>4117</v>
      </c>
      <c r="G401" s="18">
        <v>8</v>
      </c>
      <c r="H401" s="23" t="s">
        <v>4925</v>
      </c>
      <c r="I401" s="17"/>
    </row>
    <row r="402" spans="1:9" ht="15.9" hidden="1" customHeight="1">
      <c r="A402" s="6">
        <v>398</v>
      </c>
      <c r="B402" s="16" t="str">
        <f>HYPERLINK("https://www.sen.es/attachments/article/3345/Programa-%20Jornada%20Pacientes%20RASEN23.pdf","2023 - 75th Annual Meeting of the Spanish Society of Neurology")</f>
        <v>2023 - 75th Annual Meeting of the Spanish Society of Neurology</v>
      </c>
      <c r="C402" s="24" t="s">
        <v>15</v>
      </c>
      <c r="D402" s="17" t="s">
        <v>311</v>
      </c>
      <c r="E402" s="17" t="s">
        <v>4116</v>
      </c>
      <c r="F402" s="16" t="s">
        <v>4118</v>
      </c>
      <c r="G402" s="18">
        <v>8</v>
      </c>
      <c r="H402" s="23" t="s">
        <v>4925</v>
      </c>
      <c r="I402" s="17"/>
    </row>
    <row r="403" spans="1:9" ht="15.9" hidden="1" customHeight="1">
      <c r="A403" s="6">
        <v>399</v>
      </c>
      <c r="B403" s="16" t="str">
        <f>HYPERLINK("https://reunion2022.sen.es/lxxiv","2022 - 74th Annual Meeting of the Spanish Society of Neurology")</f>
        <v>2022 - 74th Annual Meeting of the Spanish Society of Neurology</v>
      </c>
      <c r="C403" s="24" t="s">
        <v>15</v>
      </c>
      <c r="D403" s="17" t="s">
        <v>311</v>
      </c>
      <c r="E403" s="17" t="s">
        <v>4116</v>
      </c>
      <c r="F403" s="16" t="s">
        <v>4119</v>
      </c>
      <c r="G403" s="18">
        <v>8</v>
      </c>
      <c r="H403" s="23" t="s">
        <v>4925</v>
      </c>
      <c r="I403" s="17"/>
    </row>
    <row r="404" spans="1:9" ht="15.9" hidden="1" customHeight="1">
      <c r="A404" s="6">
        <v>400</v>
      </c>
      <c r="B404" s="16" t="str">
        <f>HYPERLINK("https://reunion2021.sen.es/lxxiii/programa","2021 - 73rd Annual Meeting of the Spanish Society of Neurology")</f>
        <v>2021 - 73rd Annual Meeting of the Spanish Society of Neurology</v>
      </c>
      <c r="C404" s="24" t="s">
        <v>15</v>
      </c>
      <c r="D404" s="17" t="s">
        <v>311</v>
      </c>
      <c r="E404" s="17" t="s">
        <v>4116</v>
      </c>
      <c r="F404" s="16" t="s">
        <v>4120</v>
      </c>
      <c r="G404" s="18">
        <v>8</v>
      </c>
      <c r="H404" s="23" t="s">
        <v>4925</v>
      </c>
      <c r="I404" s="17"/>
    </row>
    <row r="405" spans="1:9" ht="15.9" hidden="1" customHeight="1">
      <c r="A405" s="6">
        <v>401</v>
      </c>
      <c r="B405" s="42" t="str">
        <f>HYPERLINK("https://www.senc.es/wp-content/uploads/2024/06/Programa_V13_13-05-2024.pdf","2024 - XII Cajal Conference Spanish Society of Neuroscience")</f>
        <v>2024 - XII Cajal Conference Spanish Society of Neuroscience</v>
      </c>
      <c r="C405" s="24" t="s">
        <v>15</v>
      </c>
      <c r="D405" s="17" t="s">
        <v>311</v>
      </c>
      <c r="E405" s="17" t="s">
        <v>4121</v>
      </c>
      <c r="F405" s="16" t="s">
        <v>4122</v>
      </c>
      <c r="G405" s="18">
        <v>8</v>
      </c>
      <c r="H405" s="23" t="s">
        <v>4925</v>
      </c>
      <c r="I405" s="17"/>
    </row>
    <row r="406" spans="1:9" ht="15.9" hidden="1" customHeight="1">
      <c r="A406" s="6">
        <v>402</v>
      </c>
      <c r="B406" s="42" t="str">
        <f>HYPERLINK("https://www.senc.es/wp-content/uploads/2022/04/Programa-Cajal-Conference-2022.pdf","2022 - XI Cajal Conference Spanish Society of Neuroscience")</f>
        <v>2022 - XI Cajal Conference Spanish Society of Neuroscience</v>
      </c>
      <c r="C406" s="24" t="s">
        <v>15</v>
      </c>
      <c r="D406" s="17" t="s">
        <v>311</v>
      </c>
      <c r="E406" s="17" t="s">
        <v>4121</v>
      </c>
      <c r="F406" s="16" t="s">
        <v>4123</v>
      </c>
      <c r="G406" s="18">
        <v>8</v>
      </c>
      <c r="H406" s="23" t="s">
        <v>4925</v>
      </c>
      <c r="I406" s="17"/>
    </row>
    <row r="407" spans="1:9" ht="15.9" hidden="1" customHeight="1">
      <c r="A407" s="6">
        <v>403</v>
      </c>
      <c r="B407" s="16" t="str">
        <f>HYPERLINK("https://congresonacionaldepsiquiatria.es/pdf/CNP-2024-Programa.pdf","2024 - XXVII National Congress of Psychiatry")</f>
        <v>2024 - XXVII National Congress of Psychiatry</v>
      </c>
      <c r="C407" s="24" t="s">
        <v>15</v>
      </c>
      <c r="D407" s="17" t="s">
        <v>311</v>
      </c>
      <c r="E407" s="17" t="s">
        <v>4124</v>
      </c>
      <c r="F407" s="16" t="s">
        <v>4125</v>
      </c>
      <c r="G407" s="18">
        <v>4</v>
      </c>
      <c r="H407" s="23" t="s">
        <v>4925</v>
      </c>
      <c r="I407" s="17"/>
    </row>
    <row r="408" spans="1:9" ht="15.9" hidden="1" customHeight="1">
      <c r="A408" s="6">
        <v>404</v>
      </c>
      <c r="B408" s="16" t="str">
        <f>HYPERLINK("https://congresonacionaldepsiquiatria.es/web-2023/pdf/programa_CNP23.pdf","2023 - XXVI National Congress of Psychiatry")</f>
        <v>2023 - XXVI National Congress of Psychiatry</v>
      </c>
      <c r="C408" s="24" t="s">
        <v>15</v>
      </c>
      <c r="D408" s="17" t="s">
        <v>311</v>
      </c>
      <c r="E408" s="17" t="s">
        <v>4124</v>
      </c>
      <c r="F408" s="16" t="s">
        <v>4126</v>
      </c>
      <c r="G408" s="18">
        <v>4</v>
      </c>
      <c r="H408" s="23" t="s">
        <v>4925</v>
      </c>
      <c r="I408" s="17"/>
    </row>
    <row r="409" spans="1:9" ht="15.9" hidden="1" customHeight="1">
      <c r="A409" s="6">
        <v>405</v>
      </c>
      <c r="B409" s="16" t="str">
        <f>HYPERLINK("https://congresonacionaldepsiquiatria.es/web-2022/pdf/Programa_web_CNP22.pdf","2022 - XXV National Congress of Psychiatry")</f>
        <v>2022 - XXV National Congress of Psychiatry</v>
      </c>
      <c r="C409" s="24" t="s">
        <v>15</v>
      </c>
      <c r="D409" s="17" t="s">
        <v>311</v>
      </c>
      <c r="E409" s="17" t="s">
        <v>4124</v>
      </c>
      <c r="F409" s="16" t="s">
        <v>4127</v>
      </c>
      <c r="G409" s="18">
        <v>4</v>
      </c>
      <c r="H409" s="23" t="s">
        <v>4925</v>
      </c>
      <c r="I409" s="17"/>
    </row>
    <row r="410" spans="1:9" ht="15.9" hidden="1" customHeight="1">
      <c r="A410" s="6">
        <v>406</v>
      </c>
      <c r="B410" s="16" t="str">
        <f>HYPERLINK("https://congresonacionaldepsiquiatria.es/web-2021/pdf/programa_cnp21.pdf","2021 - XXIV National Congress of Psychiatry")</f>
        <v>2021 - XXIV National Congress of Psychiatry</v>
      </c>
      <c r="C410" s="24" t="s">
        <v>15</v>
      </c>
      <c r="D410" s="17" t="s">
        <v>311</v>
      </c>
      <c r="E410" s="17" t="s">
        <v>4124</v>
      </c>
      <c r="F410" s="16" t="s">
        <v>4128</v>
      </c>
      <c r="G410" s="18">
        <v>4</v>
      </c>
      <c r="H410" s="23" t="s">
        <v>4925</v>
      </c>
      <c r="I410" s="17"/>
    </row>
    <row r="411" spans="1:9" ht="15.9" hidden="1" customHeight="1">
      <c r="A411" s="6">
        <v>407</v>
      </c>
      <c r="B411" s="16" t="str">
        <f>HYPERLINK("https://congresonacionaldepsiquiatria.es/web-2020/pdf/2020/programa_CNP2020.pdf","2020 - XXIII National Congress of Psychiatry")</f>
        <v>2020 - XXIII National Congress of Psychiatry</v>
      </c>
      <c r="C411" s="24" t="s">
        <v>15</v>
      </c>
      <c r="D411" s="17" t="s">
        <v>311</v>
      </c>
      <c r="E411" s="17" t="s">
        <v>4124</v>
      </c>
      <c r="F411" s="16" t="s">
        <v>4129</v>
      </c>
      <c r="G411" s="18">
        <v>4</v>
      </c>
      <c r="H411" s="23" t="s">
        <v>4925</v>
      </c>
      <c r="I411" s="17"/>
    </row>
    <row r="412" spans="1:9" ht="15.9" hidden="1" customHeight="1">
      <c r="A412" s="6">
        <v>408</v>
      </c>
      <c r="B412" s="16" t="str">
        <f>HYPERLINK("https://congreso2024.sepg.es/pagina/programa","2024 - XXI Congress of Spanish Society of Psychogeriatrics")</f>
        <v>2024 - XXI Congress of Spanish Society of Psychogeriatrics</v>
      </c>
      <c r="C412" s="24" t="s">
        <v>15</v>
      </c>
      <c r="D412" s="17" t="s">
        <v>311</v>
      </c>
      <c r="E412" s="17" t="s">
        <v>4855</v>
      </c>
      <c r="F412" s="16" t="s">
        <v>4856</v>
      </c>
      <c r="G412" s="18">
        <v>5</v>
      </c>
      <c r="H412" s="23" t="s">
        <v>4925</v>
      </c>
      <c r="I412" s="17"/>
    </row>
    <row r="413" spans="1:9" ht="15.9" hidden="1" customHeight="1">
      <c r="A413" s="6">
        <v>409</v>
      </c>
      <c r="B413" s="16" t="str">
        <f>HYPERLINK("https://congreso2023.sepg.es/pagina/programa","2023 - XX Congress of Spanish Society of Psychogeriatrics")</f>
        <v>2023 - XX Congress of Spanish Society of Psychogeriatrics</v>
      </c>
      <c r="C413" s="24" t="s">
        <v>15</v>
      </c>
      <c r="D413" s="17" t="s">
        <v>311</v>
      </c>
      <c r="E413" s="17" t="s">
        <v>4855</v>
      </c>
      <c r="F413" s="16" t="s">
        <v>4857</v>
      </c>
      <c r="G413" s="18">
        <v>5</v>
      </c>
      <c r="H413" s="23" t="s">
        <v>4925</v>
      </c>
      <c r="I413" s="17"/>
    </row>
    <row r="414" spans="1:9" ht="15.9" hidden="1" customHeight="1">
      <c r="A414" s="6">
        <v>410</v>
      </c>
      <c r="B414" s="16" t="str">
        <f>HYPERLINK("https://congreso2022.sepg.es/pagina/programa","2022 - XIX Congress of Spanish Society of Psychogeriatrics")</f>
        <v>2022 - XIX Congress of Spanish Society of Psychogeriatrics</v>
      </c>
      <c r="C414" s="24" t="s">
        <v>15</v>
      </c>
      <c r="D414" s="17" t="s">
        <v>311</v>
      </c>
      <c r="E414" s="17" t="s">
        <v>4855</v>
      </c>
      <c r="F414" s="16" t="s">
        <v>4858</v>
      </c>
      <c r="G414" s="18">
        <v>5</v>
      </c>
      <c r="H414" s="23" t="s">
        <v>4925</v>
      </c>
      <c r="I414" s="17"/>
    </row>
    <row r="415" spans="1:9" ht="15.9" hidden="1" customHeight="1">
      <c r="A415" s="6">
        <v>411</v>
      </c>
      <c r="B415" s="16" t="str">
        <f>HYPERLINK("https://www.alzheimersresearchuk.org/research/for-researchers/research-conference/past-events/research-conference-2024/scientific-programme-2024/","2024 - Alzheimer’s Research UK Conference")</f>
        <v>2024 - Alzheimer’s Research UK Conference</v>
      </c>
      <c r="C415" s="24" t="s">
        <v>15</v>
      </c>
      <c r="D415" s="17" t="s">
        <v>17</v>
      </c>
      <c r="E415" s="17" t="s">
        <v>4859</v>
      </c>
      <c r="F415" s="16" t="s">
        <v>4860</v>
      </c>
      <c r="G415" s="18">
        <v>6</v>
      </c>
      <c r="H415" s="23" t="s">
        <v>4335</v>
      </c>
      <c r="I415" s="17"/>
    </row>
    <row r="416" spans="1:9" ht="15.9" hidden="1" customHeight="1">
      <c r="A416" s="6">
        <v>412</v>
      </c>
      <c r="B416" s="16" t="str">
        <f>HYPERLINK("https://www.alzheimersresearchuk.org/research/for-researchers/research-conference/past-events/research-conference-2023/scientific-programme-2023/","2023 - Alzheimer’s Research UK Conference")</f>
        <v>2023 - Alzheimer’s Research UK Conference</v>
      </c>
      <c r="C416" s="24" t="s">
        <v>15</v>
      </c>
      <c r="D416" s="17" t="s">
        <v>17</v>
      </c>
      <c r="E416" s="17" t="s">
        <v>4859</v>
      </c>
      <c r="F416" s="16" t="s">
        <v>4861</v>
      </c>
      <c r="G416" s="18">
        <v>6</v>
      </c>
      <c r="H416" s="23" t="s">
        <v>4335</v>
      </c>
      <c r="I416" s="17"/>
    </row>
    <row r="417" spans="1:9" ht="15.9" hidden="1" customHeight="1">
      <c r="A417" s="6">
        <v>413</v>
      </c>
      <c r="B417" s="16" t="str">
        <f>HYPERLINK("https://www.alzheimersresearchuk.org/research/for-researchers/research-conference/past-events/2022-conference/scientific-programme-2022/","2022 - Alzheimer’s Research UK Conference")</f>
        <v>2022 - Alzheimer’s Research UK Conference</v>
      </c>
      <c r="C417" s="24" t="s">
        <v>15</v>
      </c>
      <c r="D417" s="17" t="s">
        <v>17</v>
      </c>
      <c r="E417" s="17" t="s">
        <v>4859</v>
      </c>
      <c r="F417" s="16" t="s">
        <v>4862</v>
      </c>
      <c r="G417" s="18">
        <v>6</v>
      </c>
      <c r="H417" s="23" t="s">
        <v>4335</v>
      </c>
      <c r="I417" s="17"/>
    </row>
    <row r="418" spans="1:9" ht="15.9" hidden="1" customHeight="1">
      <c r="A418" s="6">
        <v>414</v>
      </c>
      <c r="B418" s="16" t="str">
        <f>HYPERLINK("https://ukdri.ac.uk/events/alzheimers-research-uk-conference-2021","2021 - Alzheimer’s Research UK Conference")</f>
        <v>2021 - Alzheimer’s Research UK Conference</v>
      </c>
      <c r="C418" s="24" t="s">
        <v>15</v>
      </c>
      <c r="D418" s="17" t="s">
        <v>17</v>
      </c>
      <c r="E418" s="17" t="s">
        <v>4859</v>
      </c>
      <c r="F418" s="16" t="s">
        <v>4863</v>
      </c>
      <c r="G418" s="18">
        <v>6</v>
      </c>
      <c r="H418" s="23" t="s">
        <v>4335</v>
      </c>
      <c r="I418" s="17"/>
    </row>
    <row r="419" spans="1:9" ht="15.9" hidden="1" customHeight="1">
      <c r="A419" s="6">
        <v>415</v>
      </c>
      <c r="B419" s="16" t="str">
        <f>HYPERLINK("https://www.bap.org.uk/pdfs/BAP2024_Programme.pdf","2024 - British Association for Psychopharmacology Summer Meeting")</f>
        <v>2024 - British Association for Psychopharmacology Summer Meeting</v>
      </c>
      <c r="C419" s="24" t="s">
        <v>15</v>
      </c>
      <c r="D419" s="17" t="s">
        <v>17</v>
      </c>
      <c r="E419" s="17" t="s">
        <v>435</v>
      </c>
      <c r="F419" s="16" t="s">
        <v>4130</v>
      </c>
      <c r="G419" s="18">
        <v>5</v>
      </c>
      <c r="H419" s="23" t="s">
        <v>4925</v>
      </c>
      <c r="I419" s="17"/>
    </row>
    <row r="420" spans="1:9" ht="15.9" hidden="1" customHeight="1">
      <c r="A420" s="6">
        <v>416</v>
      </c>
      <c r="B420" s="16" t="str">
        <f>HYPERLINK("https://www.bap.org.uk/pdfs/BAP2023_programme.pdf","2023 - British Association for Psychopharmacology Summer Meeting")</f>
        <v>2023 - British Association for Psychopharmacology Summer Meeting</v>
      </c>
      <c r="C420" s="24" t="s">
        <v>15</v>
      </c>
      <c r="D420" s="17" t="s">
        <v>17</v>
      </c>
      <c r="E420" s="17" t="s">
        <v>435</v>
      </c>
      <c r="F420" s="16" t="s">
        <v>4131</v>
      </c>
      <c r="G420" s="18">
        <v>5</v>
      </c>
      <c r="H420" s="23" t="s">
        <v>4925</v>
      </c>
      <c r="I420" s="17"/>
    </row>
    <row r="421" spans="1:9" ht="15.9" hidden="1" customHeight="1">
      <c r="A421" s="6">
        <v>417</v>
      </c>
      <c r="B421" s="16" t="str">
        <f>HYPERLINK("https://www.bap.org.uk/pdfs/2022_Summer_Meeting_Programme.pdf","2022 - British Association for Psychopharmacology Summer Meeting")</f>
        <v>2022 - British Association for Psychopharmacology Summer Meeting</v>
      </c>
      <c r="C421" s="24" t="s">
        <v>15</v>
      </c>
      <c r="D421" s="17" t="s">
        <v>17</v>
      </c>
      <c r="E421" s="17" t="s">
        <v>435</v>
      </c>
      <c r="F421" s="16" t="s">
        <v>4132</v>
      </c>
      <c r="G421" s="18">
        <v>5</v>
      </c>
      <c r="H421" s="23" t="s">
        <v>4925</v>
      </c>
      <c r="I421" s="17"/>
    </row>
    <row r="422" spans="1:9" ht="15.9" hidden="1" customHeight="1">
      <c r="A422" s="6">
        <v>418</v>
      </c>
      <c r="B422" s="16" t="str">
        <f>HYPERLINK("https://www.bap.org.uk/pdfs/2021_Summer_Meeting_Live_Online_Programme.pdf","2021 - British Association for Psychopharmacology Summer Meeting")</f>
        <v>2021 - British Association for Psychopharmacology Summer Meeting</v>
      </c>
      <c r="C422" s="24" t="s">
        <v>15</v>
      </c>
      <c r="D422" s="17" t="s">
        <v>17</v>
      </c>
      <c r="E422" s="17" t="s">
        <v>435</v>
      </c>
      <c r="F422" s="16" t="s">
        <v>4133</v>
      </c>
      <c r="G422" s="18">
        <v>5</v>
      </c>
      <c r="H422" s="23" t="s">
        <v>4925</v>
      </c>
      <c r="I422" s="17"/>
    </row>
    <row r="423" spans="1:9" ht="15.9" hidden="1" customHeight="1">
      <c r="A423" s="6">
        <v>419</v>
      </c>
      <c r="B423" s="16" t="str">
        <f>HYPERLINK("https://www.bgs.org.uk/sites/default/files/content/events/files/2024_Spring_Prog%202_28.pdf","2024 - Spring Meeting of the British Geriatrics Society")</f>
        <v>2024 - Spring Meeting of the British Geriatrics Society</v>
      </c>
      <c r="C423" s="24" t="s">
        <v>15</v>
      </c>
      <c r="D423" s="17" t="s">
        <v>17</v>
      </c>
      <c r="E423" s="17" t="s">
        <v>4864</v>
      </c>
      <c r="F423" s="16" t="s">
        <v>4865</v>
      </c>
      <c r="G423" s="18">
        <v>9</v>
      </c>
      <c r="H423" s="23" t="s">
        <v>4925</v>
      </c>
      <c r="I423" s="17"/>
    </row>
    <row r="424" spans="1:9" ht="15.9" hidden="1" customHeight="1">
      <c r="A424" s="6">
        <v>420</v>
      </c>
      <c r="B424" s="16" t="str">
        <f>HYPERLINK("https://www.bgs.org.uk/events/2024-autumn-meeting","2024 - Autumn Meeting of the British Geriatrics Society")</f>
        <v>2024 - Autumn Meeting of the British Geriatrics Society</v>
      </c>
      <c r="C424" s="24" t="s">
        <v>15</v>
      </c>
      <c r="D424" s="17" t="s">
        <v>17</v>
      </c>
      <c r="E424" s="17" t="s">
        <v>4864</v>
      </c>
      <c r="F424" s="16" t="s">
        <v>4866</v>
      </c>
      <c r="G424" s="18">
        <v>9</v>
      </c>
      <c r="H424" s="23" t="s">
        <v>4925</v>
      </c>
      <c r="I424" s="17"/>
    </row>
    <row r="425" spans="1:9" ht="15.9" hidden="1" customHeight="1">
      <c r="A425" s="6">
        <v>421</v>
      </c>
      <c r="B425" s="16" t="str">
        <f>HYPERLINK("https://www.bgs.org.uk/sites/default/files/content/events/files/2023_Spring_Programme%202_6.pdf","2023 - Spring Meeting of the British Geriatrics Society")</f>
        <v>2023 - Spring Meeting of the British Geriatrics Society</v>
      </c>
      <c r="C425" s="24" t="s">
        <v>15</v>
      </c>
      <c r="D425" s="17" t="s">
        <v>17</v>
      </c>
      <c r="E425" s="17" t="s">
        <v>4864</v>
      </c>
      <c r="F425" s="16" t="s">
        <v>4867</v>
      </c>
      <c r="G425" s="18">
        <v>9</v>
      </c>
      <c r="H425" s="23" t="s">
        <v>4925</v>
      </c>
      <c r="I425" s="17"/>
    </row>
    <row r="426" spans="1:9" ht="15.9" hidden="1" customHeight="1">
      <c r="A426" s="6">
        <v>422</v>
      </c>
      <c r="B426" s="16" t="str">
        <f>HYPERLINK("https://www.bgs.org.uk/sites/default/files/content/events/files/2023_Autumn_Prog_34.pdf","2023 - Autumn Meeting of the British Geriatrics Society")</f>
        <v>2023 - Autumn Meeting of the British Geriatrics Society</v>
      </c>
      <c r="C426" s="24" t="s">
        <v>15</v>
      </c>
      <c r="D426" s="17" t="s">
        <v>17</v>
      </c>
      <c r="E426" s="17" t="s">
        <v>4864</v>
      </c>
      <c r="F426" s="16" t="s">
        <v>4868</v>
      </c>
      <c r="G426" s="18">
        <v>9</v>
      </c>
      <c r="H426" s="23" t="s">
        <v>4925</v>
      </c>
      <c r="I426" s="17"/>
    </row>
    <row r="427" spans="1:9" ht="15.9" hidden="1" customHeight="1">
      <c r="A427" s="6">
        <v>423</v>
      </c>
      <c r="B427" s="16" t="str">
        <f>HYPERLINK("https://www.bgs.org.uk/sites/default/files/content/events/files/2022_Spring_Online_Programme_26.pdf","2022 - Spring Meeting of the British Geriatrics Society")</f>
        <v>2022 - Spring Meeting of the British Geriatrics Society</v>
      </c>
      <c r="C427" s="24" t="s">
        <v>15</v>
      </c>
      <c r="D427" s="17" t="s">
        <v>17</v>
      </c>
      <c r="E427" s="17" t="s">
        <v>4864</v>
      </c>
      <c r="F427" s="16" t="s">
        <v>4869</v>
      </c>
      <c r="G427" s="18">
        <v>9</v>
      </c>
      <c r="H427" s="23" t="s">
        <v>4925</v>
      </c>
      <c r="I427" s="17"/>
    </row>
    <row r="428" spans="1:9" ht="15.9" hidden="1" customHeight="1">
      <c r="A428" s="6">
        <v>424</v>
      </c>
      <c r="B428" s="16" t="str">
        <f>HYPERLINK("https://www.bgs.org.uk/sites/default/files/content/events/files/2022_Autumn_Hybrid_Programme_30.pdf","2022 - Autumn Meeting of the British Geriatrics Society")</f>
        <v>2022 - Autumn Meeting of the British Geriatrics Society</v>
      </c>
      <c r="C428" s="24" t="s">
        <v>15</v>
      </c>
      <c r="D428" s="17" t="s">
        <v>17</v>
      </c>
      <c r="E428" s="17" t="s">
        <v>4864</v>
      </c>
      <c r="F428" s="16" t="s">
        <v>4870</v>
      </c>
      <c r="G428" s="18">
        <v>9</v>
      </c>
      <c r="H428" s="23" t="s">
        <v>4925</v>
      </c>
      <c r="I428" s="17"/>
    </row>
    <row r="429" spans="1:9" ht="15.9" hidden="1" customHeight="1">
      <c r="A429" s="6">
        <v>425</v>
      </c>
      <c r="B429" s="16" t="str">
        <f>HYPERLINK("https://www.bgs.org.uk/events/spring-meeting-2021","2021 - Spring Meeting of the British Geriatrics Society")</f>
        <v>2021 - Spring Meeting of the British Geriatrics Society</v>
      </c>
      <c r="C429" s="24" t="s">
        <v>15</v>
      </c>
      <c r="D429" s="17" t="s">
        <v>17</v>
      </c>
      <c r="E429" s="17" t="s">
        <v>4864</v>
      </c>
      <c r="F429" s="16" t="s">
        <v>4871</v>
      </c>
      <c r="G429" s="18">
        <v>9</v>
      </c>
      <c r="H429" s="23" t="s">
        <v>4925</v>
      </c>
      <c r="I429" s="17"/>
    </row>
    <row r="430" spans="1:9" ht="15.9" hidden="1" customHeight="1">
      <c r="A430" s="6">
        <v>426</v>
      </c>
      <c r="B430" s="16" t="str">
        <f>HYPERLINK("https://www.bgs.org.uk/sites/default/files/content/events/files/2021_Autumn_Online_Programme_Final_19.pdf","2021 - Autumn Meeting of the British Geriatrics Society")</f>
        <v>2021 - Autumn Meeting of the British Geriatrics Society</v>
      </c>
      <c r="C430" s="24" t="s">
        <v>15</v>
      </c>
      <c r="D430" s="17" t="s">
        <v>17</v>
      </c>
      <c r="E430" s="17" t="s">
        <v>4864</v>
      </c>
      <c r="F430" s="16" t="s">
        <v>4872</v>
      </c>
      <c r="G430" s="18">
        <v>9</v>
      </c>
      <c r="H430" s="23" t="s">
        <v>4925</v>
      </c>
      <c r="I430" s="17"/>
    </row>
    <row r="431" spans="1:9" ht="15.9" hidden="1" customHeight="1">
      <c r="A431" s="6">
        <v>427</v>
      </c>
      <c r="B431" s="16" t="str">
        <f>HYPERLINK("https://www.bgs.org.uk/sites/default/files/content/events/files/2020_Aut_Overview_Virtual_7.pdf","2020 - Autumn Meeting of the British Geriatrics Society")</f>
        <v>2020 - Autumn Meeting of the British Geriatrics Society</v>
      </c>
      <c r="C431" s="24" t="s">
        <v>15</v>
      </c>
      <c r="D431" s="17" t="s">
        <v>17</v>
      </c>
      <c r="E431" s="17" t="s">
        <v>4864</v>
      </c>
      <c r="F431" s="16" t="s">
        <v>4873</v>
      </c>
      <c r="G431" s="18">
        <v>9</v>
      </c>
      <c r="H431" s="23" t="s">
        <v>4925</v>
      </c>
      <c r="I431" s="17"/>
    </row>
    <row r="432" spans="1:9" ht="15.9" hidden="1" customHeight="1">
      <c r="A432" s="6">
        <v>428</v>
      </c>
      <c r="B432" s="16" t="str">
        <f>HYPERLINK("https://bnpa.org.uk/wp-content/uploads/2024/02/BNPA-2024-Programme-FINAL.pdf","2024 - 37th Annual Conference on British Neuropsychiatry Association")</f>
        <v>2024 - 37th Annual Conference on British Neuropsychiatry Association</v>
      </c>
      <c r="C432" s="24" t="s">
        <v>15</v>
      </c>
      <c r="D432" s="17" t="s">
        <v>17</v>
      </c>
      <c r="E432" s="17" t="s">
        <v>4134</v>
      </c>
      <c r="F432" s="16" t="s">
        <v>4135</v>
      </c>
      <c r="G432" s="18">
        <v>3</v>
      </c>
      <c r="H432" s="23" t="s">
        <v>4325</v>
      </c>
      <c r="I432" s="17"/>
    </row>
    <row r="433" spans="1:9" ht="15.9" hidden="1" customHeight="1">
      <c r="A433" s="6">
        <v>429</v>
      </c>
      <c r="B433" s="16" t="str">
        <f>HYPERLINK("https://bnpa.org.uk/wp-content/uploads/2023/09/BNPA-PROGRAMME-AND-ABSTRACT-BOOK-2023.pdf","2023 - 36th Annual Conference on British Neuropsychiatry Association")</f>
        <v>2023 - 36th Annual Conference on British Neuropsychiatry Association</v>
      </c>
      <c r="C433" s="24" t="s">
        <v>15</v>
      </c>
      <c r="D433" s="17" t="s">
        <v>17</v>
      </c>
      <c r="E433" s="17" t="s">
        <v>4134</v>
      </c>
      <c r="F433" s="16" t="s">
        <v>4136</v>
      </c>
      <c r="G433" s="18">
        <v>3</v>
      </c>
      <c r="H433" s="23" t="s">
        <v>4325</v>
      </c>
      <c r="I433" s="17"/>
    </row>
    <row r="434" spans="1:9" ht="15.9" hidden="1" customHeight="1">
      <c r="A434" s="6">
        <v>430</v>
      </c>
      <c r="B434" s="16" t="str">
        <f>HYPERLINK("https://bnpa.org.uk/wp-content/uploads/2022/05/BOOK-2022.pdf","2022 - 35th Annual Conference on British Neuropsychiatry Association")</f>
        <v>2022 - 35th Annual Conference on British Neuropsychiatry Association</v>
      </c>
      <c r="C434" s="24" t="s">
        <v>15</v>
      </c>
      <c r="D434" s="17" t="s">
        <v>17</v>
      </c>
      <c r="E434" s="17" t="s">
        <v>4134</v>
      </c>
      <c r="F434" s="16" t="s">
        <v>4137</v>
      </c>
      <c r="G434" s="18">
        <v>3</v>
      </c>
      <c r="H434" s="23" t="s">
        <v>4325</v>
      </c>
      <c r="I434" s="17"/>
    </row>
    <row r="435" spans="1:9" ht="15.9" hidden="1" customHeight="1">
      <c r="A435" s="6">
        <v>431</v>
      </c>
      <c r="B435" s="16" t="str">
        <f>HYPERLINK("https://bnpa.org.uk/wp-content/uploads/2020/11/11-March-2021-Online-Programme.pdf","2021 - 34th Annual Conference on British Neuropsychiatry Association")</f>
        <v>2021 - 34th Annual Conference on British Neuropsychiatry Association</v>
      </c>
      <c r="C435" s="24" t="s">
        <v>15</v>
      </c>
      <c r="D435" s="17" t="s">
        <v>17</v>
      </c>
      <c r="E435" s="17" t="s">
        <v>4134</v>
      </c>
      <c r="F435" s="16" t="s">
        <v>4138</v>
      </c>
      <c r="G435" s="18">
        <v>3</v>
      </c>
      <c r="H435" s="23" t="s">
        <v>4325</v>
      </c>
      <c r="I435" s="17"/>
    </row>
    <row r="436" spans="1:9" ht="15.9" hidden="1" customHeight="1">
      <c r="A436" s="6">
        <v>432</v>
      </c>
      <c r="B436" s="16" t="str">
        <f>HYPERLINK("https://bnpa.org.uk/wp-content/uploads/2022/04/2020-BOOK.pdf","2020 - 33rd Annual Conference on British Neuropsychiatry Association")</f>
        <v>2020 - 33rd Annual Conference on British Neuropsychiatry Association</v>
      </c>
      <c r="C436" s="24" t="s">
        <v>15</v>
      </c>
      <c r="D436" s="17" t="s">
        <v>17</v>
      </c>
      <c r="E436" s="17" t="s">
        <v>4134</v>
      </c>
      <c r="F436" s="16" t="s">
        <v>4139</v>
      </c>
      <c r="G436" s="18">
        <v>3</v>
      </c>
      <c r="H436" s="23" t="s">
        <v>4325</v>
      </c>
      <c r="I436" s="17"/>
    </row>
    <row r="437" spans="1:9" ht="15.9" hidden="1" customHeight="1">
      <c r="A437" s="6">
        <v>433</v>
      </c>
      <c r="B437" s="16" t="str">
        <f>HYPERLINK("https://www.britishgerontology.org/events-and-courses/bsg-annual-conference","2024 - 53rd Annual Conference of the British Society of Gerontology")</f>
        <v>2024 - 53rd Annual Conference of the British Society of Gerontology</v>
      </c>
      <c r="C437" s="24" t="s">
        <v>15</v>
      </c>
      <c r="D437" s="17" t="s">
        <v>17</v>
      </c>
      <c r="E437" s="17" t="s">
        <v>4874</v>
      </c>
      <c r="F437" s="16" t="s">
        <v>4875</v>
      </c>
      <c r="G437" s="18">
        <v>9</v>
      </c>
      <c r="H437" s="23" t="s">
        <v>4925</v>
      </c>
      <c r="I437" s="17"/>
    </row>
    <row r="438" spans="1:9" ht="15.9" hidden="1" customHeight="1">
      <c r="A438" s="6">
        <v>434</v>
      </c>
      <c r="B438" s="16" t="str">
        <f>HYPERLINK("https://www.britishgerontology.org/events-and-courses/past-conferences/2023-uea-norwich","2023 - 52nd Annual Conference of the British Society of Gerontology")</f>
        <v>2023 - 52nd Annual Conference of the British Society of Gerontology</v>
      </c>
      <c r="C438" s="24" t="s">
        <v>15</v>
      </c>
      <c r="D438" s="17" t="s">
        <v>17</v>
      </c>
      <c r="E438" s="17" t="s">
        <v>4874</v>
      </c>
      <c r="F438" s="16" t="s">
        <v>4876</v>
      </c>
      <c r="G438" s="18">
        <v>9</v>
      </c>
      <c r="H438" s="23" t="s">
        <v>4925</v>
      </c>
      <c r="I438" s="17"/>
    </row>
    <row r="439" spans="1:9" ht="15.9" hidden="1" customHeight="1">
      <c r="A439" s="6">
        <v>435</v>
      </c>
      <c r="B439" s="16" t="str">
        <f>HYPERLINK("https://www.britishgerontology.org/events-and-courses/past-conferences/2022-uwe-bristol","2022 - 51st Annual Conference of the British Society of Gerontology")</f>
        <v>2022 - 51st Annual Conference of the British Society of Gerontology</v>
      </c>
      <c r="C439" s="24" t="s">
        <v>15</v>
      </c>
      <c r="D439" s="17" t="s">
        <v>17</v>
      </c>
      <c r="E439" s="17" t="s">
        <v>4874</v>
      </c>
      <c r="F439" s="16" t="s">
        <v>4877</v>
      </c>
      <c r="G439" s="18">
        <v>9</v>
      </c>
      <c r="H439" s="23" t="s">
        <v>4925</v>
      </c>
      <c r="I439" s="17"/>
    </row>
    <row r="440" spans="1:9" ht="15.9" hidden="1" customHeight="1">
      <c r="A440" s="6">
        <v>436</v>
      </c>
      <c r="B440" s="16" t="str">
        <f>HYPERLINK("https://www.britishgerontology.org/events-and-courses/past-conferences/2021-lancaster","2021 - 50th Annual Conference of the British Society of Gerontology")</f>
        <v>2021 - 50th Annual Conference of the British Society of Gerontology</v>
      </c>
      <c r="C440" s="24" t="s">
        <v>15</v>
      </c>
      <c r="D440" s="17" t="s">
        <v>17</v>
      </c>
      <c r="E440" s="17" t="s">
        <v>4874</v>
      </c>
      <c r="F440" s="16" t="s">
        <v>4878</v>
      </c>
      <c r="G440" s="18">
        <v>9</v>
      </c>
      <c r="H440" s="23" t="s">
        <v>4925</v>
      </c>
      <c r="I440" s="17"/>
    </row>
    <row r="441" spans="1:9" ht="15.9" hidden="1" customHeight="1">
      <c r="A441" s="6">
        <v>437</v>
      </c>
      <c r="B441" s="16" t="str">
        <f>HYPERLINK("https://www.britishgerontology.org/events-and-courses/past-conferences/2020-online-conference","2020 - 49th Annual Conference of the British Society of Gerontology")</f>
        <v>2020 - 49th Annual Conference of the British Society of Gerontology</v>
      </c>
      <c r="C441" s="24" t="s">
        <v>15</v>
      </c>
      <c r="D441" s="17" t="s">
        <v>17</v>
      </c>
      <c r="E441" s="17" t="s">
        <v>4874</v>
      </c>
      <c r="F441" s="16" t="s">
        <v>4879</v>
      </c>
      <c r="G441" s="18">
        <v>9</v>
      </c>
      <c r="H441" s="23" t="s">
        <v>4925</v>
      </c>
      <c r="I441" s="17"/>
    </row>
    <row r="442" spans="1:9" ht="15.9" hidden="1" customHeight="1">
      <c r="A442" s="6">
        <v>438</v>
      </c>
      <c r="B442" s="16" t="str">
        <f>HYPERLINK("https://www.acadpsychclinicalscience.org/cmss_files/attachmentlibrary/2021_APCS_MembershipMeetingMinutes-72-.pdf","2021 - Annual Meeting of Academy of Psychological Clinical Science")</f>
        <v>2021 - Annual Meeting of Academy of Psychological Clinical Science</v>
      </c>
      <c r="C442" s="24" t="s">
        <v>15</v>
      </c>
      <c r="D442" s="17" t="s">
        <v>18</v>
      </c>
      <c r="E442" s="17" t="s">
        <v>4149</v>
      </c>
      <c r="F442" s="16" t="s">
        <v>4150</v>
      </c>
      <c r="G442" s="18">
        <v>5</v>
      </c>
      <c r="H442" s="23" t="s">
        <v>4925</v>
      </c>
      <c r="I442" s="17"/>
    </row>
    <row r="443" spans="1:9" ht="15.9" hidden="1" customHeight="1">
      <c r="A443" s="6">
        <v>439</v>
      </c>
      <c r="B443" s="16" t="str">
        <f>HYPERLINK("https://www.acadpsychclinicalscience.org/cmss_files/attachmentlibrary/2020_APCS_MembershipMeetingMinutes-13-.pdf","2020 - Annual Meeting of Academy of Psychological Clinical Science")</f>
        <v>2020 - Annual Meeting of Academy of Psychological Clinical Science</v>
      </c>
      <c r="C443" s="24" t="s">
        <v>15</v>
      </c>
      <c r="D443" s="17" t="s">
        <v>18</v>
      </c>
      <c r="E443" s="17" t="s">
        <v>4149</v>
      </c>
      <c r="F443" s="16" t="s">
        <v>4151</v>
      </c>
      <c r="G443" s="18">
        <v>5</v>
      </c>
      <c r="H443" s="23" t="s">
        <v>4925</v>
      </c>
      <c r="I443" s="17"/>
    </row>
    <row r="444" spans="1:9" ht="15.9" hidden="1" customHeight="1">
      <c r="A444" s="6">
        <v>440</v>
      </c>
      <c r="B444" s="16" t="str">
        <f>HYPERLINK("https://aacap.confex.com/aacap/2024/meetingapp.cgi/Day/2024-10-13","2024 - 71st Annual Meeting of American Academy of Child and Adolescent Psychiatry")</f>
        <v>2024 - 71st Annual Meeting of American Academy of Child and Adolescent Psychiatry</v>
      </c>
      <c r="C444" s="24" t="s">
        <v>15</v>
      </c>
      <c r="D444" s="17" t="s">
        <v>18</v>
      </c>
      <c r="E444" s="17" t="s">
        <v>469</v>
      </c>
      <c r="F444" s="16" t="s">
        <v>4152</v>
      </c>
      <c r="G444" s="18">
        <v>4</v>
      </c>
      <c r="H444" s="23" t="s">
        <v>4925</v>
      </c>
      <c r="I444" s="17"/>
    </row>
    <row r="445" spans="1:9" ht="15.9" hidden="1" customHeight="1">
      <c r="A445" s="6">
        <v>441</v>
      </c>
      <c r="B445" s="16" t="str">
        <f>HYPERLINK("https://aacap.confex.com/aacap/2023/meetingapp.cgi/Day/2023-10-22","2023 - 70th Annual Meeting of American Academy of Child and Adolescent Psychiatry")</f>
        <v>2023 - 70th Annual Meeting of American Academy of Child and Adolescent Psychiatry</v>
      </c>
      <c r="C445" s="24" t="s">
        <v>15</v>
      </c>
      <c r="D445" s="17" t="s">
        <v>18</v>
      </c>
      <c r="E445" s="17" t="s">
        <v>469</v>
      </c>
      <c r="F445" s="16" t="s">
        <v>4153</v>
      </c>
      <c r="G445" s="18">
        <v>4</v>
      </c>
      <c r="H445" s="23" t="s">
        <v>4925</v>
      </c>
      <c r="I445" s="17"/>
    </row>
    <row r="446" spans="1:9" ht="15.9" hidden="1" customHeight="1">
      <c r="A446" s="6">
        <v>442</v>
      </c>
      <c r="B446" s="16" t="str">
        <f>HYPERLINK("https://aacap.confex.com/aacap/2022/meetingapp.cgi/Day/2022-10-17","2022 - 69th Annual Meeting of American Academy of Child and Adolescent Psychiatry")</f>
        <v>2022 - 69th Annual Meeting of American Academy of Child and Adolescent Psychiatry</v>
      </c>
      <c r="C446" s="24" t="s">
        <v>15</v>
      </c>
      <c r="D446" s="17" t="s">
        <v>18</v>
      </c>
      <c r="E446" s="17" t="s">
        <v>469</v>
      </c>
      <c r="F446" s="16" t="s">
        <v>4154</v>
      </c>
      <c r="G446" s="18">
        <v>4</v>
      </c>
      <c r="H446" s="23" t="s">
        <v>4925</v>
      </c>
      <c r="I446" s="17"/>
    </row>
    <row r="447" spans="1:9" ht="15.9" hidden="1" customHeight="1">
      <c r="A447" s="6">
        <v>443</v>
      </c>
      <c r="B447" s="16" t="str">
        <f>HYPERLINK("https://aacap-old.confex.com/aacap/2021/meetingapp.cgi/Day/2021-10-18","2021 - 68th Annual Meeting of American Academy of Child and Adolescent Psychiatry")</f>
        <v>2021 - 68th Annual Meeting of American Academy of Child and Adolescent Psychiatry</v>
      </c>
      <c r="C447" s="24" t="s">
        <v>15</v>
      </c>
      <c r="D447" s="17" t="s">
        <v>18</v>
      </c>
      <c r="E447" s="17" t="s">
        <v>469</v>
      </c>
      <c r="F447" s="16" t="s">
        <v>4155</v>
      </c>
      <c r="G447" s="18">
        <v>4</v>
      </c>
      <c r="H447" s="23" t="s">
        <v>4925</v>
      </c>
      <c r="I447" s="17"/>
    </row>
    <row r="448" spans="1:9" ht="15.9" hidden="1" customHeight="1">
      <c r="A448" s="6">
        <v>444</v>
      </c>
      <c r="B448" s="16" t="str">
        <f>HYPERLINK("https://aacap-old.confex.com/aacap/2020/meetingapp.cgi/Day/2020-10-19","2020 - 67th Annual Meeting of American Academy of Child and Adolescent Psychiatry")</f>
        <v>2020 - 67th Annual Meeting of American Academy of Child and Adolescent Psychiatry</v>
      </c>
      <c r="C448" s="24" t="s">
        <v>15</v>
      </c>
      <c r="D448" s="17" t="s">
        <v>18</v>
      </c>
      <c r="E448" s="17" t="s">
        <v>469</v>
      </c>
      <c r="F448" s="16" t="s">
        <v>4156</v>
      </c>
      <c r="G448" s="18">
        <v>4</v>
      </c>
      <c r="H448" s="23" t="s">
        <v>4925</v>
      </c>
      <c r="I448" s="17"/>
    </row>
    <row r="449" spans="1:9" ht="15.9" hidden="1" customHeight="1">
      <c r="A449" s="6">
        <v>445</v>
      </c>
      <c r="B449" s="16" t="str">
        <f>HYPERLINK("https://theaacn.org/conference-2024/agenda/","2024 - 22nd Annual Meeting American Academy of Clinical Neuropsychology")</f>
        <v>2024 - 22nd Annual Meeting American Academy of Clinical Neuropsychology</v>
      </c>
      <c r="C449" s="24" t="s">
        <v>15</v>
      </c>
      <c r="D449" s="17" t="s">
        <v>18</v>
      </c>
      <c r="E449" s="17" t="s">
        <v>4157</v>
      </c>
      <c r="F449" s="16" t="s">
        <v>4158</v>
      </c>
      <c r="G449" s="18">
        <v>5</v>
      </c>
      <c r="H449" s="23" t="s">
        <v>4925</v>
      </c>
      <c r="I449" s="17"/>
    </row>
    <row r="450" spans="1:9" ht="15.9" hidden="1" customHeight="1">
      <c r="A450" s="6">
        <v>446</v>
      </c>
      <c r="B450" s="16" t="str">
        <f>HYPERLINK("https://www.tandfonline.com/doi/abs/10.1080/13854046.2023.2190539","2023 - 21st Annual Meeting American Academy of Clinical Neuropsychology")</f>
        <v>2023 - 21st Annual Meeting American Academy of Clinical Neuropsychology</v>
      </c>
      <c r="C450" s="24" t="s">
        <v>15</v>
      </c>
      <c r="D450" s="17" t="s">
        <v>18</v>
      </c>
      <c r="E450" s="17" t="s">
        <v>4157</v>
      </c>
      <c r="F450" s="16" t="s">
        <v>4159</v>
      </c>
      <c r="G450" s="18">
        <v>5</v>
      </c>
      <c r="H450" s="23" t="s">
        <v>4925</v>
      </c>
      <c r="I450" s="17"/>
    </row>
    <row r="451" spans="1:9" ht="15.9" hidden="1" customHeight="1">
      <c r="A451" s="6">
        <v>447</v>
      </c>
      <c r="B451" s="16" t="str">
        <f>HYPERLINK("https://www.tandfonline.com/doi/abs/10.1080/13854046.2022.2054361","2022 - 20th Annual Meeting American Academy of Clinical Neuropsychology")</f>
        <v>2022 - 20th Annual Meeting American Academy of Clinical Neuropsychology</v>
      </c>
      <c r="C451" s="24" t="s">
        <v>15</v>
      </c>
      <c r="D451" s="17" t="s">
        <v>18</v>
      </c>
      <c r="E451" s="17" t="s">
        <v>4157</v>
      </c>
      <c r="F451" s="16" t="s">
        <v>4160</v>
      </c>
      <c r="G451" s="18">
        <v>5</v>
      </c>
      <c r="H451" s="23" t="s">
        <v>4925</v>
      </c>
      <c r="I451" s="17"/>
    </row>
    <row r="452" spans="1:9" ht="15.9" hidden="1" customHeight="1">
      <c r="A452" s="6">
        <v>448</v>
      </c>
      <c r="B452" s="16" t="str">
        <f>HYPERLINK("https://www.tandfonline.com/doi/full/10.1080/13854046.2021.1900401?src=","2021 - 19th Annual Meeting American Academy of Clinical Neuropsychology")</f>
        <v>2021 - 19th Annual Meeting American Academy of Clinical Neuropsychology</v>
      </c>
      <c r="C452" s="24" t="s">
        <v>15</v>
      </c>
      <c r="D452" s="17" t="s">
        <v>18</v>
      </c>
      <c r="E452" s="17" t="s">
        <v>4157</v>
      </c>
      <c r="F452" s="16" t="s">
        <v>4161</v>
      </c>
      <c r="G452" s="18">
        <v>5</v>
      </c>
      <c r="H452" s="23" t="s">
        <v>4925</v>
      </c>
      <c r="I452" s="17"/>
    </row>
    <row r="453" spans="1:9" ht="15.9" hidden="1" customHeight="1">
      <c r="A453" s="6">
        <v>449</v>
      </c>
      <c r="B453" s="42" t="str">
        <f>HYPERLINK("https://heyzine.com/flip-book/70b8901841.html#page/1","2024 - Psychopharmacology Leadership Summit of American Academy of Clinical Psychology")</f>
        <v>2024 - Psychopharmacology Leadership Summit of American Academy of Clinical Psychology</v>
      </c>
      <c r="C453" s="24" t="s">
        <v>15</v>
      </c>
      <c r="D453" s="24" t="s">
        <v>18</v>
      </c>
      <c r="E453" s="17" t="s">
        <v>3906</v>
      </c>
      <c r="F453" s="16" t="s">
        <v>3907</v>
      </c>
      <c r="G453" s="18">
        <v>5</v>
      </c>
      <c r="H453" s="23" t="s">
        <v>4925</v>
      </c>
      <c r="I453" s="17"/>
    </row>
    <row r="454" spans="1:9" ht="15.9" hidden="1" customHeight="1">
      <c r="A454" s="6">
        <v>450</v>
      </c>
      <c r="B454" s="16" t="str">
        <f>HYPERLINK("https://www.aan.com/msa/public/events/index/49","2024 - American Academy of Neurology Annual Meeting")</f>
        <v>2024 - American Academy of Neurology Annual Meeting</v>
      </c>
      <c r="C454" s="24" t="s">
        <v>15</v>
      </c>
      <c r="D454" s="17" t="s">
        <v>18</v>
      </c>
      <c r="E454" s="17" t="s">
        <v>4162</v>
      </c>
      <c r="F454" s="16" t="s">
        <v>4163</v>
      </c>
      <c r="G454" s="18">
        <v>8</v>
      </c>
      <c r="H454" s="23" t="s">
        <v>4925</v>
      </c>
      <c r="I454" s="17"/>
    </row>
    <row r="455" spans="1:9" ht="15.9" hidden="1" customHeight="1">
      <c r="A455" s="6">
        <v>451</v>
      </c>
      <c r="B455" s="16" t="str">
        <f>HYPERLINK("https://www.aan.com/msa/public/events/index/45","2023 - American Academy of Neurology Annual Meeting")</f>
        <v>2023 - American Academy of Neurology Annual Meeting</v>
      </c>
      <c r="C455" s="24" t="s">
        <v>15</v>
      </c>
      <c r="D455" s="17" t="s">
        <v>18</v>
      </c>
      <c r="E455" s="17" t="s">
        <v>4162</v>
      </c>
      <c r="F455" s="16" t="s">
        <v>4164</v>
      </c>
      <c r="G455" s="18">
        <v>8</v>
      </c>
      <c r="H455" s="23" t="s">
        <v>4925</v>
      </c>
      <c r="I455" s="17"/>
    </row>
    <row r="456" spans="1:9" ht="15.9" hidden="1" customHeight="1">
      <c r="A456" s="6">
        <v>452</v>
      </c>
      <c r="B456" s="16" t="str">
        <f>HYPERLINK("https://www.aan.com/MSA/Public/Events/Index/43","2022 - American Academy of Neurology Annual Meeting")</f>
        <v>2022 - American Academy of Neurology Annual Meeting</v>
      </c>
      <c r="C456" s="24" t="s">
        <v>15</v>
      </c>
      <c r="D456" s="17" t="s">
        <v>18</v>
      </c>
      <c r="E456" s="17" t="s">
        <v>4162</v>
      </c>
      <c r="F456" s="16" t="s">
        <v>4165</v>
      </c>
      <c r="G456" s="18">
        <v>8</v>
      </c>
      <c r="H456" s="23" t="s">
        <v>4925</v>
      </c>
      <c r="I456" s="17"/>
    </row>
    <row r="457" spans="1:9" ht="15.9" hidden="1" customHeight="1">
      <c r="A457" s="6">
        <v>453</v>
      </c>
      <c r="B457" s="16" t="str">
        <f>HYPERLINK("https://www.aan.com/pdfprinter/api/print?filename=2021+Annual+Meeting&amp;url=https://www.aan.com/msa/public/events/index/34?print=true","2021 - American Academy of Neurology Annual Meeting")</f>
        <v>2021 - American Academy of Neurology Annual Meeting</v>
      </c>
      <c r="C457" s="24" t="s">
        <v>15</v>
      </c>
      <c r="D457" s="17" t="s">
        <v>18</v>
      </c>
      <c r="E457" s="17" t="s">
        <v>4162</v>
      </c>
      <c r="F457" s="16" t="s">
        <v>4166</v>
      </c>
      <c r="G457" s="18">
        <v>8</v>
      </c>
      <c r="H457" s="23" t="s">
        <v>4925</v>
      </c>
      <c r="I457" s="17"/>
    </row>
    <row r="458" spans="1:9" ht="15.9" hidden="1" customHeight="1">
      <c r="A458" s="6">
        <v>454</v>
      </c>
      <c r="B458" s="16" t="str">
        <f>HYPERLINK("https://www.aan.com/pdfprinter/api/print?filename=2020+Annual+Meeting&amp;url=https://www.aan.com/msa/public/events/index/31?print=true","2020 - American Academy of Neurology Annual Meeting")</f>
        <v>2020 - American Academy of Neurology Annual Meeting</v>
      </c>
      <c r="C458" s="24" t="s">
        <v>15</v>
      </c>
      <c r="D458" s="17" t="s">
        <v>18</v>
      </c>
      <c r="E458" s="17" t="s">
        <v>4162</v>
      </c>
      <c r="F458" s="16" t="s">
        <v>4167</v>
      </c>
      <c r="G458" s="18">
        <v>8</v>
      </c>
      <c r="H458" s="23" t="s">
        <v>4925</v>
      </c>
      <c r="I458" s="17"/>
    </row>
    <row r="459" spans="1:9" ht="15.9" hidden="1" customHeight="1">
      <c r="A459" s="6">
        <v>455</v>
      </c>
      <c r="B459" s="16" t="str">
        <f>HYPERLINK("https://www.communitypsychiatry.org/events/mental-health-services-conference","2023 - Mental Health Services Conference for American Association of Community Psychiatrists")</f>
        <v>2023 - Mental Health Services Conference for American Association of Community Psychiatrists</v>
      </c>
      <c r="C459" s="24" t="s">
        <v>15</v>
      </c>
      <c r="D459" s="17" t="s">
        <v>18</v>
      </c>
      <c r="E459" s="17" t="s">
        <v>4168</v>
      </c>
      <c r="F459" s="16" t="s">
        <v>4169</v>
      </c>
      <c r="G459" s="18">
        <v>4</v>
      </c>
      <c r="H459" s="23" t="s">
        <v>4925</v>
      </c>
      <c r="I459" s="17"/>
    </row>
    <row r="460" spans="1:9" ht="15.9" hidden="1" customHeight="1">
      <c r="A460" s="6">
        <v>456</v>
      </c>
      <c r="B460" s="16" t="str">
        <f>HYPERLINK("https://aagponline.org/education-events/annual-meeting/","2024 - Annual Meeting of American Association of Geriatric Psychiatry (AAGP)")</f>
        <v>2024 - Annual Meeting of American Association of Geriatric Psychiatry (AAGP)</v>
      </c>
      <c r="C460" s="24" t="s">
        <v>15</v>
      </c>
      <c r="D460" s="17" t="s">
        <v>18</v>
      </c>
      <c r="E460" s="17" t="s">
        <v>471</v>
      </c>
      <c r="F460" s="16" t="s">
        <v>4170</v>
      </c>
      <c r="G460" s="18">
        <v>4</v>
      </c>
      <c r="H460" s="23" t="s">
        <v>4925</v>
      </c>
      <c r="I460" s="17"/>
    </row>
    <row r="461" spans="1:9" ht="15.9" hidden="1" customHeight="1">
      <c r="A461" s="6">
        <v>457</v>
      </c>
      <c r="B461" s="16" t="str">
        <f>HYPERLINK("https://aagponline.org/wp-content/uploads/2023/02/2023SchedulAtAGlance.pdf","2023 - Annual Meeting of American Association of Geriatric Psychiatry (AAGP)")</f>
        <v>2023 - Annual Meeting of American Association of Geriatric Psychiatry (AAGP)</v>
      </c>
      <c r="C461" s="24" t="s">
        <v>15</v>
      </c>
      <c r="D461" s="17" t="s">
        <v>18</v>
      </c>
      <c r="E461" s="17" t="s">
        <v>471</v>
      </c>
      <c r="F461" s="16" t="s">
        <v>4171</v>
      </c>
      <c r="G461" s="18">
        <v>4</v>
      </c>
      <c r="H461" s="23" t="s">
        <v>4925</v>
      </c>
      <c r="I461" s="17"/>
    </row>
    <row r="462" spans="1:9" ht="15.9" hidden="1" customHeight="1">
      <c r="A462" s="6">
        <v>458</v>
      </c>
      <c r="B462" s="16" t="str">
        <f>HYPERLINK("https://www.emedevents.com/c/medical-conferences-2022/american-association-for-geriatric-psychiatry-aagp-annual-meeting-2022","2022 - Annual Meeting of American Association of Geriatric Psychiatry (AAGP)")</f>
        <v>2022 - Annual Meeting of American Association of Geriatric Psychiatry (AAGP)</v>
      </c>
      <c r="C462" s="24" t="s">
        <v>15</v>
      </c>
      <c r="D462" s="17" t="s">
        <v>18</v>
      </c>
      <c r="E462" s="17" t="s">
        <v>471</v>
      </c>
      <c r="F462" s="16" t="s">
        <v>4172</v>
      </c>
      <c r="G462" s="18">
        <v>4</v>
      </c>
      <c r="H462" s="23" t="s">
        <v>4925</v>
      </c>
      <c r="I462" s="17"/>
    </row>
    <row r="463" spans="1:9" ht="15.9" hidden="1" customHeight="1">
      <c r="A463" s="6">
        <v>459</v>
      </c>
      <c r="B463" s="16" t="str">
        <f>HYPERLINK("https://www.emedevents.com/c/medical-conferences-2021/american-association-for-geriatric-psychiatry-aagp-annual-meeting-2021","2021 - Annual Meeting of American Association of Geriatric Psychiatry (AAGP)")</f>
        <v>2021 - Annual Meeting of American Association of Geriatric Psychiatry (AAGP)</v>
      </c>
      <c r="C463" s="24" t="s">
        <v>15</v>
      </c>
      <c r="D463" s="17" t="s">
        <v>18</v>
      </c>
      <c r="E463" s="17" t="s">
        <v>471</v>
      </c>
      <c r="F463" s="16" t="s">
        <v>4173</v>
      </c>
      <c r="G463" s="18">
        <v>4</v>
      </c>
      <c r="H463" s="23" t="s">
        <v>4925</v>
      </c>
      <c r="I463" s="17"/>
    </row>
    <row r="464" spans="1:9" ht="15.9" hidden="1" customHeight="1">
      <c r="A464" s="6">
        <v>460</v>
      </c>
      <c r="B464" s="16" t="str">
        <f>HYPERLINK("https://connect.aagponline.org/events/event-description?CalendarEventKey=1de6bdb4-4539-4585-90c6-7c8c367394d0","2020 - Annual Meeting of American Association of Geriatric Psychiatry (AAGP)")</f>
        <v>2020 - Annual Meeting of American Association of Geriatric Psychiatry (AAGP)</v>
      </c>
      <c r="C464" s="24" t="s">
        <v>15</v>
      </c>
      <c r="D464" s="17" t="s">
        <v>18</v>
      </c>
      <c r="E464" s="17" t="s">
        <v>471</v>
      </c>
      <c r="F464" s="16" t="s">
        <v>4174</v>
      </c>
      <c r="G464" s="18">
        <v>4</v>
      </c>
      <c r="H464" s="23" t="s">
        <v>4925</v>
      </c>
      <c r="I464" s="17"/>
    </row>
    <row r="465" spans="1:9" ht="15.9" hidden="1" customHeight="1">
      <c r="A465" s="6">
        <v>461</v>
      </c>
      <c r="B465" s="16" t="str">
        <f>HYPERLINK("https://rehabpsychconference.org/wp-content/uploads/2024/02/RP2024_ProgramSchedule_Updated_022424.pdf","2024 - 26th Annual Rehabilitation Psychology Conference")</f>
        <v>2024 - 26th Annual Rehabilitation Psychology Conference</v>
      </c>
      <c r="C465" s="24" t="s">
        <v>15</v>
      </c>
      <c r="D465" s="17" t="s">
        <v>18</v>
      </c>
      <c r="E465" s="17" t="s">
        <v>4175</v>
      </c>
      <c r="F465" s="16" t="s">
        <v>4176</v>
      </c>
      <c r="G465" s="18">
        <v>5</v>
      </c>
      <c r="H465" s="23" t="s">
        <v>4925</v>
      </c>
      <c r="I465" s="17"/>
    </row>
    <row r="466" spans="1:9" ht="15.9" hidden="1" customHeight="1">
      <c r="A466" s="6">
        <v>462</v>
      </c>
      <c r="B466" s="16" t="str">
        <f>HYPERLINK("https://rehabpsychconference.org/wp-content/uploads/2023/02/RP2023_Program_021423.pdf","2023 - 25th Annual Rehabilitation Psychology Conference")</f>
        <v>2023 - 25th Annual Rehabilitation Psychology Conference</v>
      </c>
      <c r="C466" s="24" t="s">
        <v>15</v>
      </c>
      <c r="D466" s="17" t="s">
        <v>18</v>
      </c>
      <c r="E466" s="17" t="s">
        <v>4175</v>
      </c>
      <c r="F466" s="16" t="s">
        <v>4177</v>
      </c>
      <c r="G466" s="18">
        <v>5</v>
      </c>
      <c r="H466" s="23" t="s">
        <v>4925</v>
      </c>
      <c r="I466" s="17"/>
    </row>
    <row r="467" spans="1:9" ht="15.9" hidden="1" customHeight="1">
      <c r="A467" s="6">
        <v>463</v>
      </c>
      <c r="B467" s="16" t="str">
        <f>HYPERLINK("https://acnp.societyconference.com/conf/#sessions/conf10034","2024 - 63rd Annual Meeting of the American College of Neuropsychopharmacology")</f>
        <v>2024 - 63rd Annual Meeting of the American College of Neuropsychopharmacology</v>
      </c>
      <c r="C467" s="24" t="s">
        <v>15</v>
      </c>
      <c r="D467" s="17" t="s">
        <v>18</v>
      </c>
      <c r="E467" s="17" t="s">
        <v>4178</v>
      </c>
      <c r="F467" s="16" t="s">
        <v>4179</v>
      </c>
      <c r="G467" s="18">
        <v>5</v>
      </c>
      <c r="H467" s="23" t="s">
        <v>4925</v>
      </c>
      <c r="I467" s="17"/>
    </row>
    <row r="468" spans="1:9" ht="15.9" hidden="1" customHeight="1">
      <c r="A468" s="6">
        <v>464</v>
      </c>
      <c r="B468" s="16" t="str">
        <f>HYPERLINK("https://acnp.societyconference.com/conf/#sessions/conf10033","2023 - 62nd Annual Meeting of the American College of Neuropsychopharmacology")</f>
        <v>2023 - 62nd Annual Meeting of the American College of Neuropsychopharmacology</v>
      </c>
      <c r="C468" s="24" t="s">
        <v>15</v>
      </c>
      <c r="D468" s="17" t="s">
        <v>18</v>
      </c>
      <c r="E468" s="17" t="s">
        <v>4178</v>
      </c>
      <c r="F468" s="16" t="s">
        <v>4180</v>
      </c>
      <c r="G468" s="18">
        <v>5</v>
      </c>
      <c r="H468" s="23" t="s">
        <v>4925</v>
      </c>
      <c r="I468" s="17"/>
    </row>
    <row r="469" spans="1:9" ht="15.9" hidden="1" customHeight="1">
      <c r="A469" s="6">
        <v>465</v>
      </c>
      <c r="B469" s="16" t="str">
        <f>HYPERLINK("https://acnp.eventsair.com/national-conference-2022/2022-acnp-program","2022 - 61st Annual Meeting of the American College of Neuropsychopharmacology")</f>
        <v>2022 - 61st Annual Meeting of the American College of Neuropsychopharmacology</v>
      </c>
      <c r="C469" s="24" t="s">
        <v>15</v>
      </c>
      <c r="D469" s="17" t="s">
        <v>18</v>
      </c>
      <c r="E469" s="17" t="s">
        <v>4178</v>
      </c>
      <c r="F469" s="16" t="s">
        <v>4181</v>
      </c>
      <c r="G469" s="18">
        <v>5</v>
      </c>
      <c r="H469" s="23" t="s">
        <v>4925</v>
      </c>
      <c r="I469" s="17"/>
    </row>
    <row r="470" spans="1:9" ht="15.9" hidden="1" customHeight="1">
      <c r="A470" s="6">
        <v>466</v>
      </c>
      <c r="B470" s="16" t="str">
        <f>HYPERLINK("https://acnp.societyconference.com/conf/#sessions/conf10031","2021 - 60th Annual Meeting of American College of Neuropsychopharmacology")</f>
        <v>2021 - 60th Annual Meeting of American College of Neuropsychopharmacology</v>
      </c>
      <c r="C470" s="24" t="s">
        <v>15</v>
      </c>
      <c r="D470" s="17" t="s">
        <v>18</v>
      </c>
      <c r="E470" s="17" t="s">
        <v>4178</v>
      </c>
      <c r="F470" s="16" t="s">
        <v>4182</v>
      </c>
      <c r="G470" s="18">
        <v>5</v>
      </c>
      <c r="H470" s="23" t="s">
        <v>4925</v>
      </c>
      <c r="I470" s="17"/>
    </row>
    <row r="471" spans="1:9" ht="15.9" hidden="1" customHeight="1">
      <c r="A471" s="6">
        <v>467</v>
      </c>
      <c r="B471" s="16" t="str">
        <f>HYPERLINK("https://acnp.societyconference.com/conf/#sessions/conf10030","2020 - 59th Annual Meeting of American College of Neuropsychopharmacology")</f>
        <v>2020 - 59th Annual Meeting of American College of Neuropsychopharmacology</v>
      </c>
      <c r="C471" s="24" t="s">
        <v>15</v>
      </c>
      <c r="D471" s="17" t="s">
        <v>18</v>
      </c>
      <c r="E471" s="17" t="s">
        <v>4178</v>
      </c>
      <c r="F471" s="16" t="s">
        <v>4183</v>
      </c>
      <c r="G471" s="18">
        <v>5</v>
      </c>
      <c r="H471" s="23" t="s">
        <v>4925</v>
      </c>
      <c r="I471" s="17"/>
    </row>
    <row r="472" spans="1:9" ht="15.9" hidden="1" customHeight="1">
      <c r="A472" s="6">
        <v>468</v>
      </c>
      <c r="B472" s="16" t="str">
        <f>HYPERLINK("https://meeting.americangeriatrics.org/program/schedule-glance","2024 - Virtual Annual Scientific Meeting of the American Geriatrics Society (AGS)")</f>
        <v>2024 - Virtual Annual Scientific Meeting of the American Geriatrics Society (AGS)</v>
      </c>
      <c r="C472" s="24" t="s">
        <v>15</v>
      </c>
      <c r="D472" s="17" t="s">
        <v>18</v>
      </c>
      <c r="E472" s="17" t="s">
        <v>4883</v>
      </c>
      <c r="F472" s="16" t="s">
        <v>4884</v>
      </c>
      <c r="G472" s="18">
        <v>9</v>
      </c>
      <c r="H472" s="23" t="s">
        <v>4925</v>
      </c>
      <c r="I472" s="17"/>
    </row>
    <row r="473" spans="1:9" ht="15.9" hidden="1" customHeight="1">
      <c r="A473" s="6">
        <v>469</v>
      </c>
      <c r="B473" s="16" t="str">
        <f>HYPERLINK("https://meeting.americangeriatrics.org/2023-meeting-programs","2023 - Annual Scientific Meeting of the American Geriatrics Society (AGS)")</f>
        <v>2023 - Annual Scientific Meeting of the American Geriatrics Society (AGS)</v>
      </c>
      <c r="C473" s="24" t="s">
        <v>15</v>
      </c>
      <c r="D473" s="17" t="s">
        <v>18</v>
      </c>
      <c r="E473" s="17" t="s">
        <v>4883</v>
      </c>
      <c r="F473" s="16" t="s">
        <v>4885</v>
      </c>
      <c r="G473" s="18">
        <v>9</v>
      </c>
      <c r="H473" s="23" t="s">
        <v>4925</v>
      </c>
      <c r="I473" s="17"/>
    </row>
    <row r="474" spans="1:9" ht="15.9" hidden="1" customHeight="1">
      <c r="A474" s="6">
        <v>470</v>
      </c>
      <c r="B474" s="16" t="str">
        <f>HYPERLINK("https://www.americangeriatrics.org/opportunities/2022-ags-annual-scientific-meeting","2022 - Annual Scientific Meeting of the American Geriatrics Society (AGS)")</f>
        <v>2022 - Annual Scientific Meeting of the American Geriatrics Society (AGS)</v>
      </c>
      <c r="C474" s="24" t="s">
        <v>15</v>
      </c>
      <c r="D474" s="17" t="s">
        <v>18</v>
      </c>
      <c r="E474" s="17" t="s">
        <v>4883</v>
      </c>
      <c r="F474" s="16" t="s">
        <v>4886</v>
      </c>
      <c r="G474" s="18">
        <v>9</v>
      </c>
      <c r="H474" s="23" t="s">
        <v>4925</v>
      </c>
      <c r="I474" s="17"/>
    </row>
    <row r="475" spans="1:9" ht="15.9" hidden="1" customHeight="1">
      <c r="A475" s="6">
        <v>471</v>
      </c>
      <c r="B475" s="16" t="str">
        <f>HYPERLINK("https://agsjournals.onlinelibrary.wiley.com/doi/10.1111/jgs.17116","2021 - Virtual Annual Scientific Meeting of the American Geriatrics Society (AGS)")</f>
        <v>2021 - Virtual Annual Scientific Meeting of the American Geriatrics Society (AGS)</v>
      </c>
      <c r="C475" s="24" t="s">
        <v>15</v>
      </c>
      <c r="D475" s="17" t="s">
        <v>18</v>
      </c>
      <c r="E475" s="17" t="s">
        <v>4883</v>
      </c>
      <c r="F475" s="16" t="s">
        <v>4887</v>
      </c>
      <c r="G475" s="18">
        <v>9</v>
      </c>
      <c r="H475" s="23" t="s">
        <v>4925</v>
      </c>
      <c r="I475" s="17"/>
    </row>
    <row r="476" spans="1:9" ht="15.9" hidden="1" customHeight="1">
      <c r="A476" s="6">
        <v>472</v>
      </c>
      <c r="B476" s="16" t="str">
        <f>HYPERLINK("https://agpa.org/docs/default-source/agpa-connect-2024/2024-agpa-connect-printed-program-final-1-10-24.pdf","2024 - Annual Meeting of American Group Psychotherapy Association")</f>
        <v>2024 - Annual Meeting of American Group Psychotherapy Association</v>
      </c>
      <c r="C476" s="24" t="s">
        <v>15</v>
      </c>
      <c r="D476" s="17" t="s">
        <v>18</v>
      </c>
      <c r="E476" s="17" t="s">
        <v>4184</v>
      </c>
      <c r="F476" s="16" t="s">
        <v>4185</v>
      </c>
      <c r="G476" s="18">
        <v>5</v>
      </c>
      <c r="H476" s="23" t="s">
        <v>4925</v>
      </c>
      <c r="I476" s="17"/>
    </row>
    <row r="477" spans="1:9" ht="15.9" hidden="1" customHeight="1">
      <c r="A477" s="6">
        <v>473</v>
      </c>
      <c r="B477" s="16" t="str">
        <f>HYPERLINK("https://www.agpa.org/home/continuing-ed-meetings-events-training/agpa-connect-2023","2023 - Annual Meeting of American Group Psychotherapy Association")</f>
        <v>2023 - Annual Meeting of American Group Psychotherapy Association</v>
      </c>
      <c r="C477" s="24" t="s">
        <v>15</v>
      </c>
      <c r="D477" s="17" t="s">
        <v>18</v>
      </c>
      <c r="E477" s="17" t="s">
        <v>4184</v>
      </c>
      <c r="F477" s="16" t="s">
        <v>4186</v>
      </c>
      <c r="G477" s="18">
        <v>5</v>
      </c>
      <c r="H477" s="23" t="s">
        <v>4925</v>
      </c>
      <c r="I477" s="17"/>
    </row>
    <row r="478" spans="1:9" ht="15.9" hidden="1" customHeight="1">
      <c r="A478" s="6">
        <v>474</v>
      </c>
      <c r="B478" s="16" t="str">
        <f>HYPERLINK("https://www.agpa.org/home/continuing-ed-meetings-events-training/agpa-connect-2022#:~:text=It%20is%20composed%20of%20three,for%20Monday%2C%20February%2028).","2022 - Virtual Meeting of American Group Psychotherapy Association")</f>
        <v>2022 - Virtual Meeting of American Group Psychotherapy Association</v>
      </c>
      <c r="C478" s="24" t="s">
        <v>15</v>
      </c>
      <c r="D478" s="17" t="s">
        <v>18</v>
      </c>
      <c r="E478" s="17" t="s">
        <v>4184</v>
      </c>
      <c r="F478" s="16" t="s">
        <v>4187</v>
      </c>
      <c r="G478" s="18">
        <v>5</v>
      </c>
      <c r="H478" s="23" t="s">
        <v>4925</v>
      </c>
      <c r="I478" s="17"/>
    </row>
    <row r="479" spans="1:9" ht="15.9" hidden="1" customHeight="1">
      <c r="A479" s="6">
        <v>475</v>
      </c>
      <c r="B479" s="16" t="str">
        <f>HYPERLINK("https://agpa.org/docs/default-source/agpa-connect-2021/agpa2021-connectprogram-01-06-21.pdf?sfvrsn=c62b9ba9_0","2021 - Virtual Meeting of American Group Psychotherapy Association")</f>
        <v>2021 - Virtual Meeting of American Group Psychotherapy Association</v>
      </c>
      <c r="C479" s="24" t="s">
        <v>15</v>
      </c>
      <c r="D479" s="17" t="s">
        <v>18</v>
      </c>
      <c r="E479" s="17" t="s">
        <v>4184</v>
      </c>
      <c r="F479" s="16" t="s">
        <v>4188</v>
      </c>
      <c r="G479" s="18">
        <v>5</v>
      </c>
      <c r="H479" s="23" t="s">
        <v>4925</v>
      </c>
      <c r="I479" s="17"/>
    </row>
    <row r="480" spans="1:9" ht="15.9" hidden="1" customHeight="1">
      <c r="A480" s="6">
        <v>476</v>
      </c>
      <c r="B480" s="16" t="str">
        <f>HYPERLINK("https://www.agpa.org/home/continuing-ed-meetings-events-training/agpa-connect-2020","2020 - Annual Meeting of American Group Psychotherapy Association")</f>
        <v>2020 - Annual Meeting of American Group Psychotherapy Association</v>
      </c>
      <c r="C480" s="24" t="s">
        <v>15</v>
      </c>
      <c r="D480" s="17" t="s">
        <v>18</v>
      </c>
      <c r="E480" s="17" t="s">
        <v>4184</v>
      </c>
      <c r="F480" s="16" t="s">
        <v>4189</v>
      </c>
      <c r="G480" s="18">
        <v>5</v>
      </c>
      <c r="H480" s="23" t="s">
        <v>4925</v>
      </c>
      <c r="I480" s="17"/>
    </row>
    <row r="481" spans="1:9" ht="15.9" hidden="1" customHeight="1">
      <c r="A481" s="6">
        <v>477</v>
      </c>
      <c r="B481" s="16" t="str">
        <f>HYPERLINK("https://higherlogicdownload.s3.amazonaws.com/AMHCA/6664039b-12a0-4d03-8199-32c785fe1687/UploadedImages/Conference/2024/2024_Brochure_042924.pdf","2024 - Annual Conference of the American Mental Health Counselors Association")</f>
        <v>2024 - Annual Conference of the American Mental Health Counselors Association</v>
      </c>
      <c r="C481" s="24" t="s">
        <v>15</v>
      </c>
      <c r="D481" s="17" t="s">
        <v>18</v>
      </c>
      <c r="E481" s="17" t="s">
        <v>4190</v>
      </c>
      <c r="F481" s="16" t="s">
        <v>4191</v>
      </c>
      <c r="G481" s="18">
        <v>4</v>
      </c>
      <c r="H481" s="23" t="s">
        <v>4925</v>
      </c>
      <c r="I481" s="17"/>
    </row>
    <row r="482" spans="1:9" ht="15.9" hidden="1" customHeight="1">
      <c r="A482" s="6">
        <v>478</v>
      </c>
      <c r="B482" s="16" t="str">
        <f>HYPERLINK("https://www.amhca.org/events/eventdescription?CalendarEventKey=d09bd4d7-0f80-43d0-916f-6284f451a8b5&amp;Home=%2Fabout%2Fnews","2023 - Annual Conference of the American Mental Health Counselors Association")</f>
        <v>2023 - Annual Conference of the American Mental Health Counselors Association</v>
      </c>
      <c r="C482" s="24" t="s">
        <v>15</v>
      </c>
      <c r="D482" s="17" t="s">
        <v>18</v>
      </c>
      <c r="E482" s="17" t="s">
        <v>4190</v>
      </c>
      <c r="F482" s="16" t="s">
        <v>4192</v>
      </c>
      <c r="G482" s="18">
        <v>4</v>
      </c>
      <c r="H482" s="23" t="s">
        <v>4925</v>
      </c>
      <c r="I482" s="17"/>
    </row>
    <row r="483" spans="1:9" ht="15.9" hidden="1" customHeight="1">
      <c r="A483" s="6">
        <v>479</v>
      </c>
      <c r="B483" s="16" t="str">
        <f>HYPERLINK("https://www.amhca.org/events/eventdescription?CalendarEventKey=16ab2f4e-4bcf-4fbd-8b7f-c46075372577&amp;Home=%2Fevents%2Fupcomingevents#:~:text=Join%20us%20for%20the%202022,2022%20Live%20in%20Las%20Vegas!","2022 - Annual Conference of the American Mental Health Counselors Association")</f>
        <v>2022 - Annual Conference of the American Mental Health Counselors Association</v>
      </c>
      <c r="C483" s="24" t="s">
        <v>15</v>
      </c>
      <c r="D483" s="17" t="s">
        <v>18</v>
      </c>
      <c r="E483" s="17" t="s">
        <v>4190</v>
      </c>
      <c r="F483" s="16" t="s">
        <v>4193</v>
      </c>
      <c r="G483" s="18">
        <v>4</v>
      </c>
      <c r="H483" s="23" t="s">
        <v>4925</v>
      </c>
      <c r="I483" s="17"/>
    </row>
    <row r="484" spans="1:9" ht="15.9" hidden="1" customHeight="1">
      <c r="A484" s="6">
        <v>480</v>
      </c>
      <c r="B484" s="16" t="str">
        <f>HYPERLINK("https://www.amhca.org/events/eventdescription?CalendarEventKey=f73047e7-2825-4511-bfde-9df2c07ded89&amp;Home=%2Fhome","2021 - Annual Conference of the American Mental Health Counselors Association")</f>
        <v>2021 - Annual Conference of the American Mental Health Counselors Association</v>
      </c>
      <c r="C484" s="24" t="s">
        <v>15</v>
      </c>
      <c r="D484" s="17" t="s">
        <v>18</v>
      </c>
      <c r="E484" s="17" t="s">
        <v>4190</v>
      </c>
      <c r="F484" s="16" t="s">
        <v>4194</v>
      </c>
      <c r="G484" s="18">
        <v>4</v>
      </c>
      <c r="H484" s="23" t="s">
        <v>4925</v>
      </c>
      <c r="I484" s="17"/>
    </row>
    <row r="485" spans="1:9" ht="15.9" hidden="1" customHeight="1">
      <c r="A485" s="6">
        <v>481</v>
      </c>
      <c r="B485" s="16" t="str">
        <f>HYPERLINK("https://www.amhca.org/20conference","2020 - Annual Conference of the American Mental Health Counselors Association")</f>
        <v>2020 - Annual Conference of the American Mental Health Counselors Association</v>
      </c>
      <c r="C485" s="24" t="s">
        <v>15</v>
      </c>
      <c r="D485" s="17" t="s">
        <v>18</v>
      </c>
      <c r="E485" s="17" t="s">
        <v>4190</v>
      </c>
      <c r="F485" s="16" t="s">
        <v>4195</v>
      </c>
      <c r="G485" s="18">
        <v>4</v>
      </c>
      <c r="H485" s="23" t="s">
        <v>4925</v>
      </c>
      <c r="I485" s="17"/>
    </row>
    <row r="486" spans="1:9" ht="15.9" hidden="1" customHeight="1">
      <c r="A486" s="6">
        <v>482</v>
      </c>
      <c r="B486" s="16" t="str">
        <f>HYPERLINK("https://2024.myana.org/program/schedule-at-a-glance","2024 - 149th Annual Meeting of the American Neurological Association")</f>
        <v>2024 - 149th Annual Meeting of the American Neurological Association</v>
      </c>
      <c r="C486" s="24" t="s">
        <v>15</v>
      </c>
      <c r="D486" s="17" t="s">
        <v>18</v>
      </c>
      <c r="E486" s="17" t="s">
        <v>4196</v>
      </c>
      <c r="F486" s="16" t="s">
        <v>4197</v>
      </c>
      <c r="G486" s="18">
        <v>8</v>
      </c>
      <c r="H486" s="23" t="s">
        <v>4925</v>
      </c>
      <c r="I486" s="17"/>
    </row>
    <row r="487" spans="1:9" ht="15.9" hidden="1" customHeight="1">
      <c r="A487" s="6">
        <v>483</v>
      </c>
      <c r="B487" s="16" t="str">
        <f>HYPERLINK("https://myana.org/sites/ana/files/images/2023/2023_ana_finalprogram_091123.pdf","2023 - 148th Annual Meeting of the American Neurological Association")</f>
        <v>2023 - 148th Annual Meeting of the American Neurological Association</v>
      </c>
      <c r="C487" s="24" t="s">
        <v>15</v>
      </c>
      <c r="D487" s="17" t="s">
        <v>18</v>
      </c>
      <c r="E487" s="17" t="s">
        <v>4196</v>
      </c>
      <c r="F487" s="16" t="s">
        <v>4198</v>
      </c>
      <c r="G487" s="18">
        <v>8</v>
      </c>
      <c r="H487" s="23" t="s">
        <v>4925</v>
      </c>
      <c r="I487" s="17"/>
    </row>
    <row r="488" spans="1:9" ht="15.9" hidden="1" customHeight="1">
      <c r="A488" s="6">
        <v>484</v>
      </c>
      <c r="B488" s="16" t="str">
        <f>HYPERLINK("https://myana.org/sites/ana/files/images/2022%20Final%20Program.pdf","2022 - 147th Annual Meeting of the American Neurological Association")</f>
        <v>2022 - 147th Annual Meeting of the American Neurological Association</v>
      </c>
      <c r="C488" s="24" t="s">
        <v>15</v>
      </c>
      <c r="D488" s="17" t="s">
        <v>18</v>
      </c>
      <c r="E488" s="17" t="s">
        <v>4196</v>
      </c>
      <c r="F488" s="16" t="s">
        <v>4199</v>
      </c>
      <c r="G488" s="18">
        <v>8</v>
      </c>
      <c r="H488" s="23" t="s">
        <v>4925</v>
      </c>
      <c r="I488" s="17"/>
    </row>
    <row r="489" spans="1:9" ht="15.9" hidden="1" customHeight="1">
      <c r="A489" s="6">
        <v>485</v>
      </c>
      <c r="B489" s="16" t="str">
        <f>HYPERLINK("https://myana.org/sites/ana/files/images/2021%20Final%20Program.pdf","2021 - 146th Annual Meeting of the American Neurological Association")</f>
        <v>2021 - 146th Annual Meeting of the American Neurological Association</v>
      </c>
      <c r="C489" s="24" t="s">
        <v>15</v>
      </c>
      <c r="D489" s="17" t="s">
        <v>18</v>
      </c>
      <c r="E489" s="17" t="s">
        <v>4196</v>
      </c>
      <c r="F489" s="16" t="s">
        <v>4200</v>
      </c>
      <c r="G489" s="18">
        <v>8</v>
      </c>
      <c r="H489" s="23" t="s">
        <v>4925</v>
      </c>
      <c r="I489" s="17"/>
    </row>
    <row r="490" spans="1:9" ht="15.9" hidden="1" customHeight="1">
      <c r="A490" s="6">
        <v>486</v>
      </c>
      <c r="B490" s="16" t="str">
        <f>HYPERLINK("https://myana.org/sites/ana/files/images/2020%20Final%20Program.pdf","2020 - 145th Annual Meeting of the American Neurological Association")</f>
        <v>2020 - 145th Annual Meeting of the American Neurological Association</v>
      </c>
      <c r="C490" s="24" t="s">
        <v>15</v>
      </c>
      <c r="D490" s="17" t="s">
        <v>18</v>
      </c>
      <c r="E490" s="17" t="s">
        <v>4196</v>
      </c>
      <c r="F490" s="16" t="s">
        <v>4201</v>
      </c>
      <c r="G490" s="18">
        <v>8</v>
      </c>
      <c r="H490" s="23" t="s">
        <v>4925</v>
      </c>
      <c r="I490" s="17"/>
    </row>
    <row r="491" spans="1:9" ht="15.9" hidden="1" customHeight="1">
      <c r="A491" s="6">
        <v>487</v>
      </c>
      <c r="B491" s="16" t="str">
        <f>HYPERLINK("https://anpaonline.org/event-5421221","2024 - 34th Annual Meeting of the American Neuropsychiatric Association")</f>
        <v>2024 - 34th Annual Meeting of the American Neuropsychiatric Association</v>
      </c>
      <c r="C491" s="24" t="s">
        <v>15</v>
      </c>
      <c r="D491" s="17" t="s">
        <v>18</v>
      </c>
      <c r="E491" s="17" t="s">
        <v>4202</v>
      </c>
      <c r="F491" s="16" t="s">
        <v>4203</v>
      </c>
      <c r="G491" s="18">
        <v>3</v>
      </c>
      <c r="H491" s="23" t="s">
        <v>4325</v>
      </c>
      <c r="I491" s="17"/>
    </row>
    <row r="492" spans="1:9" ht="15.9" hidden="1" customHeight="1">
      <c r="A492" s="6">
        <v>488</v>
      </c>
      <c r="B492" s="16" t="str">
        <f>HYPERLINK("https://www.anpaonline.org/event-5070302","2023 - 33rd Annual Meeting of the American Neuropsychiatric Association")</f>
        <v>2023 - 33rd Annual Meeting of the American Neuropsychiatric Association</v>
      </c>
      <c r="C492" s="24" t="s">
        <v>15</v>
      </c>
      <c r="D492" s="17" t="s">
        <v>18</v>
      </c>
      <c r="E492" s="17" t="s">
        <v>4202</v>
      </c>
      <c r="F492" s="16" t="s">
        <v>4204</v>
      </c>
      <c r="G492" s="18">
        <v>3</v>
      </c>
      <c r="H492" s="23" t="s">
        <v>4325</v>
      </c>
      <c r="I492" s="17"/>
    </row>
    <row r="493" spans="1:9" ht="15.9" hidden="1" customHeight="1">
      <c r="A493" s="6">
        <v>489</v>
      </c>
      <c r="B493" s="16" t="str">
        <f>HYPERLINK("https://anpaonline.org/event-4514384","2022 - 32nd Annual Meeting of the American Neuropsychiatric Association")</f>
        <v>2022 - 32nd Annual Meeting of the American Neuropsychiatric Association</v>
      </c>
      <c r="C493" s="24" t="s">
        <v>15</v>
      </c>
      <c r="D493" s="17" t="s">
        <v>18</v>
      </c>
      <c r="E493" s="17" t="s">
        <v>4202</v>
      </c>
      <c r="F493" s="16" t="s">
        <v>4205</v>
      </c>
      <c r="G493" s="18">
        <v>3</v>
      </c>
      <c r="H493" s="23" t="s">
        <v>4325</v>
      </c>
      <c r="I493" s="17"/>
    </row>
    <row r="494" spans="1:9" ht="15.9" hidden="1" customHeight="1">
      <c r="A494" s="6">
        <v>490</v>
      </c>
      <c r="B494" s="16" t="str">
        <f>HYPERLINK("https://anpaonline.org/event-4109263","2021 - 31st Annual Meeting of the American Neuropsychiatric Association")</f>
        <v>2021 - 31st Annual Meeting of the American Neuropsychiatric Association</v>
      </c>
      <c r="C494" s="24" t="s">
        <v>15</v>
      </c>
      <c r="D494" s="17" t="s">
        <v>18</v>
      </c>
      <c r="E494" s="17" t="s">
        <v>4202</v>
      </c>
      <c r="F494" s="16" t="s">
        <v>4206</v>
      </c>
      <c r="G494" s="18">
        <v>3</v>
      </c>
      <c r="H494" s="23" t="s">
        <v>4325</v>
      </c>
      <c r="I494" s="17"/>
    </row>
    <row r="495" spans="1:9" ht="15.9" hidden="1" customHeight="1">
      <c r="A495" s="6">
        <v>491</v>
      </c>
      <c r="B495" s="16" t="str">
        <f>HYPERLINK("https://anpaonline.org/event-3164340","2020 - 30th Annual Meeting of the American Neuropsychiatric Association")</f>
        <v>2020 - 30th Annual Meeting of the American Neuropsychiatric Association</v>
      </c>
      <c r="C495" s="24" t="s">
        <v>15</v>
      </c>
      <c r="D495" s="17" t="s">
        <v>18</v>
      </c>
      <c r="E495" s="17" t="s">
        <v>4202</v>
      </c>
      <c r="F495" s="16" t="s">
        <v>4207</v>
      </c>
      <c r="G495" s="18">
        <v>3</v>
      </c>
      <c r="H495" s="23" t="s">
        <v>4325</v>
      </c>
      <c r="I495" s="17"/>
    </row>
    <row r="496" spans="1:9" ht="15.9" hidden="1" customHeight="1">
      <c r="A496" s="6">
        <v>492</v>
      </c>
      <c r="B496" s="16" t="str">
        <f>HYPERLINK("https://www.psychiatry.org/psychiatrists/meetings/annual-meeting/schedule-at-a-glance","2024 - Annual Meeting of American Psychiatric Association")</f>
        <v>2024 - Annual Meeting of American Psychiatric Association</v>
      </c>
      <c r="C496" s="24" t="s">
        <v>15</v>
      </c>
      <c r="D496" s="17" t="s">
        <v>18</v>
      </c>
      <c r="E496" s="17" t="s">
        <v>380</v>
      </c>
      <c r="F496" s="16" t="s">
        <v>4208</v>
      </c>
      <c r="G496" s="18">
        <v>4</v>
      </c>
      <c r="H496" s="23" t="s">
        <v>4925</v>
      </c>
      <c r="I496" s="17"/>
    </row>
    <row r="497" spans="1:9" ht="15.9" hidden="1" customHeight="1">
      <c r="A497" s="6">
        <v>493</v>
      </c>
      <c r="B497" s="16" t="str">
        <f>HYPERLINK("https://www.psychiatry.org/getattachment/bc1754da-16a5-4b1b-a748-f95a380ad23c/2023-APA-AM-Program-Guide.pdf","2023 - Annual Meeting of American Psychiatric Association")</f>
        <v>2023 - Annual Meeting of American Psychiatric Association</v>
      </c>
      <c r="C497" s="24" t="s">
        <v>15</v>
      </c>
      <c r="D497" s="17" t="s">
        <v>18</v>
      </c>
      <c r="E497" s="17" t="s">
        <v>380</v>
      </c>
      <c r="F497" s="16" t="s">
        <v>4209</v>
      </c>
      <c r="G497" s="18">
        <v>4</v>
      </c>
      <c r="H497" s="23" t="s">
        <v>4925</v>
      </c>
      <c r="I497" s="17"/>
    </row>
    <row r="498" spans="1:9" ht="15.9" hidden="1" customHeight="1">
      <c r="A498" s="6">
        <v>494</v>
      </c>
      <c r="B498" s="16" t="str">
        <f>HYPERLINK("https://www.psychiatry.org/File%20Library/Psychiatrists/Meetings/Annual-Meeting/2022/2022-APA-Exhibitor-Prospectus.pdf","2022 - Annual Meeting of American Psychiatric Association")</f>
        <v>2022 - Annual Meeting of American Psychiatric Association</v>
      </c>
      <c r="C498" s="24" t="s">
        <v>15</v>
      </c>
      <c r="D498" s="17" t="s">
        <v>18</v>
      </c>
      <c r="E498" s="17" t="s">
        <v>380</v>
      </c>
      <c r="F498" s="16" t="s">
        <v>4210</v>
      </c>
      <c r="G498" s="18">
        <v>4</v>
      </c>
      <c r="H498" s="23" t="s">
        <v>4925</v>
      </c>
      <c r="I498" s="17"/>
    </row>
    <row r="499" spans="1:9" ht="15.9" hidden="1" customHeight="1">
      <c r="A499" s="6">
        <v>495</v>
      </c>
      <c r="B499" s="16" t="str">
        <f>HYPERLINK("https://www.psychiatry.org/File%20Library/Psychiatrists/Meetings/Annual-Meeting/2021/2021-APA-Annual-Meeting-Syllabus-and-Proceedings.pdf","2021 - Annual Meeting of American Psychiatric Association")</f>
        <v>2021 - Annual Meeting of American Psychiatric Association</v>
      </c>
      <c r="C499" s="24" t="s">
        <v>15</v>
      </c>
      <c r="D499" s="17" t="s">
        <v>18</v>
      </c>
      <c r="E499" s="17" t="s">
        <v>380</v>
      </c>
      <c r="F499" s="16" t="s">
        <v>4211</v>
      </c>
      <c r="G499" s="18">
        <v>4</v>
      </c>
      <c r="H499" s="23" t="s">
        <v>4925</v>
      </c>
      <c r="I499" s="17"/>
    </row>
    <row r="500" spans="1:9" ht="15.9" hidden="1" customHeight="1">
      <c r="A500" s="6">
        <v>496</v>
      </c>
      <c r="B500" s="16" t="str">
        <f>HYPERLINK("https://www.psychnews.org/pdfs/apa_annual_meeting_preliminary_program_2020.pdf","2020 - Annual Meeting of American Psychiatric Association")</f>
        <v>2020 - Annual Meeting of American Psychiatric Association</v>
      </c>
      <c r="C500" s="24" t="s">
        <v>15</v>
      </c>
      <c r="D500" s="17" t="s">
        <v>18</v>
      </c>
      <c r="E500" s="17" t="s">
        <v>380</v>
      </c>
      <c r="F500" s="16" t="s">
        <v>4212</v>
      </c>
      <c r="G500" s="18">
        <v>4</v>
      </c>
      <c r="H500" s="23" t="s">
        <v>4925</v>
      </c>
      <c r="I500" s="17"/>
    </row>
    <row r="501" spans="1:9" ht="15.9" hidden="1" customHeight="1">
      <c r="A501" s="6">
        <v>497</v>
      </c>
      <c r="B501" s="16" t="str">
        <f>HYPERLINK("https://omsapaprod.wpenginepowered.com/wp-content/uploads/2024/08/2024-APNA-Registration-Brochure-Aug-8-update.pdf","2024 - 38th Annual Conference of American Psychiatric Nurses Association")</f>
        <v>2024 - 38th Annual Conference of American Psychiatric Nurses Association</v>
      </c>
      <c r="C501" s="24" t="s">
        <v>15</v>
      </c>
      <c r="D501" s="17" t="s">
        <v>18</v>
      </c>
      <c r="E501" s="17" t="s">
        <v>4213</v>
      </c>
      <c r="F501" s="16" t="s">
        <v>4214</v>
      </c>
      <c r="G501" s="18">
        <v>4</v>
      </c>
      <c r="H501" s="23" t="s">
        <v>4925</v>
      </c>
      <c r="I501" s="17"/>
    </row>
    <row r="502" spans="1:9" ht="15.9" hidden="1" customHeight="1">
      <c r="A502" s="6">
        <v>498</v>
      </c>
      <c r="B502" s="16" t="str">
        <f>HYPERLINK("https://bhwell.uky.edu/events/apna-37th-annual-conference","2023 - 37th Annual Conference of American Psychiatric Nurses Association")</f>
        <v>2023 - 37th Annual Conference of American Psychiatric Nurses Association</v>
      </c>
      <c r="C502" s="24" t="s">
        <v>15</v>
      </c>
      <c r="D502" s="17" t="s">
        <v>18</v>
      </c>
      <c r="E502" s="17" t="s">
        <v>4213</v>
      </c>
      <c r="F502" s="16" t="s">
        <v>4215</v>
      </c>
      <c r="G502" s="18">
        <v>4</v>
      </c>
      <c r="H502" s="23" t="s">
        <v>4925</v>
      </c>
      <c r="I502" s="17"/>
    </row>
    <row r="503" spans="1:9" ht="15.9" hidden="1" customHeight="1">
      <c r="A503" s="6">
        <v>499</v>
      </c>
      <c r="B503" s="16" t="str">
        <f>HYPERLINK("https://bhwell.uky.edu/events/apna-36th-annual-conference-0","2022 - 36th Annual Conference of American Psychiatric Nurses Association")</f>
        <v>2022 - 36th Annual Conference of American Psychiatric Nurses Association</v>
      </c>
      <c r="C503" s="24" t="s">
        <v>15</v>
      </c>
      <c r="D503" s="17" t="s">
        <v>18</v>
      </c>
      <c r="E503" s="17" t="s">
        <v>4213</v>
      </c>
      <c r="F503" s="16" t="s">
        <v>4216</v>
      </c>
      <c r="G503" s="18">
        <v>4</v>
      </c>
      <c r="H503" s="23" t="s">
        <v>4925</v>
      </c>
      <c r="I503" s="17"/>
    </row>
    <row r="504" spans="1:9" ht="15.9" hidden="1" customHeight="1">
      <c r="A504" s="6">
        <v>500</v>
      </c>
      <c r="B504" s="16" t="str">
        <f>HYPERLINK("https://bhwell.uky.edu/events/apna-35th-annual-conference","2021 - 35th Annual Conference of American Psychiatric Nurses Association")</f>
        <v>2021 - 35th Annual Conference of American Psychiatric Nurses Association</v>
      </c>
      <c r="C504" s="24" t="s">
        <v>15</v>
      </c>
      <c r="D504" s="17" t="s">
        <v>18</v>
      </c>
      <c r="E504" s="17" t="s">
        <v>4213</v>
      </c>
      <c r="F504" s="16" t="s">
        <v>4217</v>
      </c>
      <c r="G504" s="18">
        <v>4</v>
      </c>
      <c r="H504" s="23" t="s">
        <v>4925</v>
      </c>
      <c r="I504" s="17"/>
    </row>
    <row r="505" spans="1:9" ht="15.9" hidden="1" customHeight="1">
      <c r="A505" s="6">
        <v>501</v>
      </c>
      <c r="B505" s="16" t="str">
        <f>HYPERLINK("https://m.eventsinamerica.com/events/apna-34th-annual-conference-american-psychiatric-nurses-association/medical-pharma/nursing/ve72choclarhpcw1","2020 - 34th Annual Conference of American Psychiatric Nurses Association")</f>
        <v>2020 - 34th Annual Conference of American Psychiatric Nurses Association</v>
      </c>
      <c r="C505" s="24" t="s">
        <v>15</v>
      </c>
      <c r="D505" s="17" t="s">
        <v>18</v>
      </c>
      <c r="E505" s="17" t="s">
        <v>4213</v>
      </c>
      <c r="F505" s="16" t="s">
        <v>4218</v>
      </c>
      <c r="G505" s="18">
        <v>4</v>
      </c>
      <c r="H505" s="23" t="s">
        <v>4925</v>
      </c>
      <c r="I505" s="17"/>
    </row>
    <row r="506" spans="1:9" ht="15.9" hidden="1" customHeight="1">
      <c r="A506" s="6">
        <v>502</v>
      </c>
      <c r="B506" s="16" t="str">
        <f>HYPERLINK("https://apsa.org/wp-content/uploads/2024/04/113th-AM-FINAL-program-1.pdf","2024 - 113th Annual Meeting of American Psychoanalytic Association")</f>
        <v>2024 - 113th Annual Meeting of American Psychoanalytic Association</v>
      </c>
      <c r="C506" s="24" t="s">
        <v>15</v>
      </c>
      <c r="D506" s="17" t="s">
        <v>18</v>
      </c>
      <c r="E506" s="17" t="s">
        <v>4219</v>
      </c>
      <c r="F506" s="16" t="s">
        <v>4221</v>
      </c>
      <c r="G506" s="18">
        <v>5</v>
      </c>
      <c r="H506" s="23" t="s">
        <v>4925</v>
      </c>
      <c r="I506" s="17"/>
    </row>
    <row r="507" spans="1:9" ht="15.9" hidden="1" customHeight="1">
      <c r="A507" s="6">
        <v>503</v>
      </c>
      <c r="B507" s="16" t="str">
        <f>HYPERLINK("https://apsa.org/wp-content/uploads/2023/12/APSA-NM2024-preprogram_final-1.pdf","2024 - National Meeting of American Psychoanalytic Association")</f>
        <v>2024 - National Meeting of American Psychoanalytic Association</v>
      </c>
      <c r="C507" s="24" t="s">
        <v>15</v>
      </c>
      <c r="D507" s="17" t="s">
        <v>18</v>
      </c>
      <c r="E507" s="17" t="s">
        <v>4219</v>
      </c>
      <c r="F507" s="16" t="s">
        <v>4220</v>
      </c>
      <c r="G507" s="18">
        <v>5</v>
      </c>
      <c r="H507" s="23" t="s">
        <v>4925</v>
      </c>
      <c r="I507" s="17"/>
    </row>
    <row r="508" spans="1:9" ht="15.9" hidden="1" customHeight="1">
      <c r="A508" s="6">
        <v>504</v>
      </c>
      <c r="B508" s="16" t="str">
        <f>HYPERLINK("https://apsa.org/wp-content/uploads/2023/07/AM112.pdf?ver","2023 - 112th Annual Meeting of American Psychoanalytic Association")</f>
        <v>2023 - 112th Annual Meeting of American Psychoanalytic Association</v>
      </c>
      <c r="C508" s="24" t="s">
        <v>15</v>
      </c>
      <c r="D508" s="17" t="s">
        <v>18</v>
      </c>
      <c r="E508" s="17" t="s">
        <v>4219</v>
      </c>
      <c r="F508" s="16" t="s">
        <v>4223</v>
      </c>
      <c r="G508" s="18">
        <v>5</v>
      </c>
      <c r="H508" s="23" t="s">
        <v>4925</v>
      </c>
      <c r="I508" s="17"/>
    </row>
    <row r="509" spans="1:9" ht="15.9" hidden="1" customHeight="1">
      <c r="A509" s="6">
        <v>505</v>
      </c>
      <c r="B509" s="16" t="str">
        <f>HYPERLINK("https://apsa.org/wp-content/uploads/2023/07/NM2023.pdf?ver","2023 - National Meeting of American Psychoanalytic Association")</f>
        <v>2023 - National Meeting of American Psychoanalytic Association</v>
      </c>
      <c r="C509" s="24" t="s">
        <v>15</v>
      </c>
      <c r="D509" s="17" t="s">
        <v>18</v>
      </c>
      <c r="E509" s="17" t="s">
        <v>4219</v>
      </c>
      <c r="F509" s="16" t="s">
        <v>4222</v>
      </c>
      <c r="G509" s="18">
        <v>5</v>
      </c>
      <c r="H509" s="23" t="s">
        <v>4925</v>
      </c>
      <c r="I509" s="17"/>
    </row>
    <row r="510" spans="1:9" ht="15.9" hidden="1" customHeight="1">
      <c r="A510" s="6">
        <v>506</v>
      </c>
      <c r="B510" s="16" t="str">
        <f>HYPERLINK("https://apsa.org/wp-content/uploads/2023/07/AM111.pdf?ver","2022 - 111th Annual Meeting of American Psychoanalytic Association")</f>
        <v>2022 - 111th Annual Meeting of American Psychoanalytic Association</v>
      </c>
      <c r="C510" s="24" t="s">
        <v>15</v>
      </c>
      <c r="D510" s="17" t="s">
        <v>18</v>
      </c>
      <c r="E510" s="17" t="s">
        <v>4219</v>
      </c>
      <c r="F510" s="16" t="s">
        <v>4225</v>
      </c>
      <c r="G510" s="18">
        <v>5</v>
      </c>
      <c r="H510" s="23" t="s">
        <v>4925</v>
      </c>
      <c r="I510" s="17"/>
    </row>
    <row r="511" spans="1:9" ht="15.9" hidden="1" customHeight="1">
      <c r="A511" s="6">
        <v>507</v>
      </c>
      <c r="B511" s="16" t="str">
        <f>HYPERLINK("https://apsa.org/wp-content/uploads/2023/07/NM2022.pdf?ver","2022 - National Meeting of American Psychoanalytic Association")</f>
        <v>2022 - National Meeting of American Psychoanalytic Association</v>
      </c>
      <c r="C511" s="24" t="s">
        <v>15</v>
      </c>
      <c r="D511" s="17" t="s">
        <v>18</v>
      </c>
      <c r="E511" s="17" t="s">
        <v>4219</v>
      </c>
      <c r="F511" s="16" t="s">
        <v>4224</v>
      </c>
      <c r="G511" s="18">
        <v>5</v>
      </c>
      <c r="H511" s="23" t="s">
        <v>4925</v>
      </c>
      <c r="I511" s="17"/>
    </row>
    <row r="512" spans="1:9" ht="15.9" hidden="1" customHeight="1">
      <c r="A512" s="6">
        <v>508</v>
      </c>
      <c r="B512" s="16" t="str">
        <f>HYPERLINK("https://apsa.org/wp-content/uploads/2023/07/AM110.pdf?ver","2021 - 110th Annual Meeting of American Psychoanalytic Association")</f>
        <v>2021 - 110th Annual Meeting of American Psychoanalytic Association</v>
      </c>
      <c r="C512" s="24" t="s">
        <v>15</v>
      </c>
      <c r="D512" s="17" t="s">
        <v>18</v>
      </c>
      <c r="E512" s="17" t="s">
        <v>4219</v>
      </c>
      <c r="F512" s="16" t="s">
        <v>4227</v>
      </c>
      <c r="G512" s="18">
        <v>5</v>
      </c>
      <c r="H512" s="23" t="s">
        <v>4925</v>
      </c>
      <c r="I512" s="17"/>
    </row>
    <row r="513" spans="1:9" ht="15.9" hidden="1" customHeight="1">
      <c r="A513" s="6">
        <v>509</v>
      </c>
      <c r="B513" s="16" t="str">
        <f>HYPERLINK("https://apsa.org/wp-content/uploads/2023/07/NM2021.pdf?ver","2021 - National Meeting of American Psychoanalytic Association")</f>
        <v>2021 - National Meeting of American Psychoanalytic Association</v>
      </c>
      <c r="C513" s="24" t="s">
        <v>15</v>
      </c>
      <c r="D513" s="17" t="s">
        <v>18</v>
      </c>
      <c r="E513" s="17" t="s">
        <v>4219</v>
      </c>
      <c r="F513" s="16" t="s">
        <v>4226</v>
      </c>
      <c r="G513" s="18">
        <v>5</v>
      </c>
      <c r="H513" s="23" t="s">
        <v>4925</v>
      </c>
      <c r="I513" s="17"/>
    </row>
    <row r="514" spans="1:9" ht="15.9" hidden="1" customHeight="1">
      <c r="A514" s="6">
        <v>510</v>
      </c>
      <c r="B514" s="16" t="str">
        <f>HYPERLINK("https://apsa.org/wp-content/uploads/2023/07/AM109.pdf?ver","2020 - 109th Annual Meeting of American Psychoanalytic Association")</f>
        <v>2020 - 109th Annual Meeting of American Psychoanalytic Association</v>
      </c>
      <c r="C514" s="24" t="s">
        <v>15</v>
      </c>
      <c r="D514" s="17" t="s">
        <v>18</v>
      </c>
      <c r="E514" s="17" t="s">
        <v>4219</v>
      </c>
      <c r="F514" s="16" t="s">
        <v>4229</v>
      </c>
      <c r="G514" s="18">
        <v>5</v>
      </c>
      <c r="H514" s="23" t="s">
        <v>4925</v>
      </c>
      <c r="I514" s="17"/>
    </row>
    <row r="515" spans="1:9" ht="15.9" hidden="1" customHeight="1">
      <c r="A515" s="6">
        <v>511</v>
      </c>
      <c r="B515" s="16" t="str">
        <f>HYPERLINK("https://apsa.org/wp-content/uploads/2023/07/NM2020.pdf?ver","2020 - National Meeting of American Psychoanalytic Association")</f>
        <v>2020 - National Meeting of American Psychoanalytic Association</v>
      </c>
      <c r="C515" s="24" t="s">
        <v>15</v>
      </c>
      <c r="D515" s="17" t="s">
        <v>18</v>
      </c>
      <c r="E515" s="17" t="s">
        <v>4219</v>
      </c>
      <c r="F515" s="16" t="s">
        <v>4228</v>
      </c>
      <c r="G515" s="18">
        <v>5</v>
      </c>
      <c r="H515" s="23" t="s">
        <v>4925</v>
      </c>
      <c r="I515" s="17"/>
    </row>
    <row r="516" spans="1:9" ht="15.9" hidden="1" customHeight="1">
      <c r="A516" s="6">
        <v>512</v>
      </c>
      <c r="B516" s="16" t="str">
        <f>HYPERLINK("https://convention.apa.org/agenda/agenda-at-a-glance","2024 - Annual Convention of American Psychological Association")</f>
        <v>2024 - Annual Convention of American Psychological Association</v>
      </c>
      <c r="C516" s="24" t="s">
        <v>15</v>
      </c>
      <c r="D516" s="17" t="s">
        <v>18</v>
      </c>
      <c r="E516" s="17" t="s">
        <v>4230</v>
      </c>
      <c r="F516" s="16" t="s">
        <v>4231</v>
      </c>
      <c r="G516" s="18">
        <v>5</v>
      </c>
      <c r="H516" s="23" t="s">
        <v>4925</v>
      </c>
      <c r="I516" s="17"/>
    </row>
    <row r="517" spans="1:9" ht="15.9" hidden="1" customHeight="1">
      <c r="A517" s="6">
        <v>513</v>
      </c>
      <c r="B517" s="16" t="str">
        <f>HYPERLINK("https://irp.cdn-website.com/a5ea5d51/files/uploaded/APA%202023%20Program-0ead88d8.pdf","2023 - Annual Convention of American Psychological Association")</f>
        <v>2023 - Annual Convention of American Psychological Association</v>
      </c>
      <c r="C517" s="24" t="s">
        <v>15</v>
      </c>
      <c r="D517" s="17" t="s">
        <v>18</v>
      </c>
      <c r="E517" s="17" t="s">
        <v>4230</v>
      </c>
      <c r="F517" s="16" t="s">
        <v>4232</v>
      </c>
      <c r="G517" s="18">
        <v>5</v>
      </c>
      <c r="H517" s="23" t="s">
        <v>4925</v>
      </c>
      <c r="I517" s="17"/>
    </row>
    <row r="518" spans="1:9" ht="15.9" hidden="1" customHeight="1">
      <c r="A518" s="6">
        <v>514</v>
      </c>
      <c r="B518" s="16" t="str">
        <f>HYPERLINK("https://app.core-apps.com/apa2022/events/view_by_day?day=Aug++4&amp;tracks=&amp;type=","2022 - Annual Convention of American Psychological Association")</f>
        <v>2022 - Annual Convention of American Psychological Association</v>
      </c>
      <c r="C518" s="24" t="s">
        <v>15</v>
      </c>
      <c r="D518" s="17" t="s">
        <v>18</v>
      </c>
      <c r="E518" s="17" t="s">
        <v>4230</v>
      </c>
      <c r="F518" s="16" t="s">
        <v>4233</v>
      </c>
      <c r="G518" s="18">
        <v>5</v>
      </c>
      <c r="H518" s="23" t="s">
        <v>4925</v>
      </c>
      <c r="I518" s="17"/>
    </row>
    <row r="519" spans="1:9" ht="15.9" hidden="1" customHeight="1">
      <c r="A519" s="6">
        <v>515</v>
      </c>
      <c r="B519" s="16" t="str">
        <f>HYPERLINK("https://irp.cdn-website.com/a5ea5d51/files/uploaded/APA2021-on-demand-index.pdf","2021 - Annual Convention of American Psychological Association")</f>
        <v>2021 - Annual Convention of American Psychological Association</v>
      </c>
      <c r="C519" s="24" t="s">
        <v>15</v>
      </c>
      <c r="D519" s="17" t="s">
        <v>18</v>
      </c>
      <c r="E519" s="17" t="s">
        <v>4230</v>
      </c>
      <c r="F519" s="16" t="s">
        <v>4234</v>
      </c>
      <c r="G519" s="18">
        <v>5</v>
      </c>
      <c r="H519" s="23" t="s">
        <v>4925</v>
      </c>
      <c r="I519" s="17"/>
    </row>
    <row r="520" spans="1:9" ht="15.9" hidden="1" customHeight="1">
      <c r="A520" s="6">
        <v>516</v>
      </c>
      <c r="B520" s="16" t="str">
        <f>HYPERLINK("https://irp.cdn-website.com/a5ea5d51/files/uploaded/APA_2020_Program.pdf","2020 - Annual Convention of American Psychological Association")</f>
        <v>2020 - Annual Convention of American Psychological Association</v>
      </c>
      <c r="C520" s="24" t="s">
        <v>15</v>
      </c>
      <c r="D520" s="17" t="s">
        <v>18</v>
      </c>
      <c r="E520" s="17" t="s">
        <v>4230</v>
      </c>
      <c r="F520" s="16" t="s">
        <v>4235</v>
      </c>
      <c r="G520" s="18">
        <v>5</v>
      </c>
      <c r="H520" s="23" t="s">
        <v>4925</v>
      </c>
      <c r="I520" s="17"/>
    </row>
    <row r="521" spans="1:9" ht="15.9" hidden="1" customHeight="1">
      <c r="A521" s="6">
        <v>517</v>
      </c>
      <c r="B521" s="16" t="str">
        <f>HYPERLINK("https://www.abct.org/2024-convention/","2024 - 58th Annual Convention of Association for Behavioral and Cognitive Therapies")</f>
        <v>2024 - 58th Annual Convention of Association for Behavioral and Cognitive Therapies</v>
      </c>
      <c r="C521" s="24" t="s">
        <v>15</v>
      </c>
      <c r="D521" s="17" t="s">
        <v>18</v>
      </c>
      <c r="E521" s="17" t="s">
        <v>4236</v>
      </c>
      <c r="F521" s="16" t="s">
        <v>4237</v>
      </c>
      <c r="G521" s="18">
        <v>8</v>
      </c>
      <c r="H521" s="23" t="s">
        <v>4925</v>
      </c>
      <c r="I521" s="17"/>
    </row>
    <row r="522" spans="1:9" ht="15.9" hidden="1" customHeight="1">
      <c r="A522" s="6">
        <v>518</v>
      </c>
      <c r="B522" s="16" t="str">
        <f>HYPERLINK("https://abct2023.eventscribe.net/agenda.asp?pfp=days&amp;day=11/16/2023&amp;theday=Thursday&amp;h=Thursday%20November%2016&amp;BCFO=P|G","2023 - 57th Annual Convention of Association for Behavioral and Cognitive Therapies")</f>
        <v>2023 - 57th Annual Convention of Association for Behavioral and Cognitive Therapies</v>
      </c>
      <c r="C522" s="24" t="s">
        <v>15</v>
      </c>
      <c r="D522" s="17" t="s">
        <v>18</v>
      </c>
      <c r="E522" s="17" t="s">
        <v>4236</v>
      </c>
      <c r="F522" s="16" t="s">
        <v>4238</v>
      </c>
      <c r="G522" s="18">
        <v>8</v>
      </c>
      <c r="H522" s="23" t="s">
        <v>4925</v>
      </c>
      <c r="I522" s="17"/>
    </row>
    <row r="523" spans="1:9" ht="15.9" hidden="1" customHeight="1">
      <c r="A523" s="6">
        <v>519</v>
      </c>
      <c r="B523" s="16" t="str">
        <f>HYPERLINK("https://www.eventscribe.net/2022/ABCT/agenda.asp?pfp=days&amp;day=11/17/2022&amp;theday=Thursday&amp;h=Thursday%20November%2017&amp;BCFO=P|G","2022 - 56th Annual Convention of Association for Behavioral and Cognitive Therapies")</f>
        <v>2022 - 56th Annual Convention of Association for Behavioral and Cognitive Therapies</v>
      </c>
      <c r="C523" s="24" t="s">
        <v>15</v>
      </c>
      <c r="D523" s="17" t="s">
        <v>18</v>
      </c>
      <c r="E523" s="17" t="s">
        <v>4236</v>
      </c>
      <c r="F523" s="16" t="s">
        <v>4239</v>
      </c>
      <c r="G523" s="18">
        <v>8</v>
      </c>
      <c r="H523" s="23" t="s">
        <v>4925</v>
      </c>
      <c r="I523" s="17"/>
    </row>
    <row r="524" spans="1:9" ht="15.9" hidden="1" customHeight="1">
      <c r="A524" s="6">
        <v>520</v>
      </c>
      <c r="B524" s="16" t="str">
        <f>HYPERLINK("https://www.abct.org/2021-convention/","2021 - 55th Annual Convention of Association for Behavioral and Cognitive Therapies")</f>
        <v>2021 - 55th Annual Convention of Association for Behavioral and Cognitive Therapies</v>
      </c>
      <c r="C524" s="24" t="s">
        <v>15</v>
      </c>
      <c r="D524" s="17" t="s">
        <v>18</v>
      </c>
      <c r="E524" s="17" t="s">
        <v>4236</v>
      </c>
      <c r="F524" s="16" t="s">
        <v>4240</v>
      </c>
      <c r="G524" s="18">
        <v>8</v>
      </c>
      <c r="H524" s="23" t="s">
        <v>4925</v>
      </c>
      <c r="I524" s="17"/>
    </row>
    <row r="525" spans="1:9" ht="15.9" hidden="1" customHeight="1">
      <c r="A525" s="6">
        <v>521</v>
      </c>
      <c r="B525" s="16" t="str">
        <f>HYPERLINK("https://conventionarchives.abct.org/conv2020/docs/Program_Book.pdf","2020 - 54th Annual Convention of Association for Behavioral and Cognitive Therapies")</f>
        <v>2020 - 54th Annual Convention of Association for Behavioral and Cognitive Therapies</v>
      </c>
      <c r="C525" s="24" t="s">
        <v>15</v>
      </c>
      <c r="D525" s="17" t="s">
        <v>18</v>
      </c>
      <c r="E525" s="17" t="s">
        <v>4236</v>
      </c>
      <c r="F525" s="16" t="s">
        <v>4241</v>
      </c>
      <c r="G525" s="18">
        <v>8</v>
      </c>
      <c r="H525" s="23" t="s">
        <v>4925</v>
      </c>
      <c r="I525" s="17"/>
    </row>
    <row r="526" spans="1:9" ht="15.9" hidden="1" customHeight="1">
      <c r="A526" s="6">
        <v>522</v>
      </c>
      <c r="B526" s="16" t="str">
        <f>HYPERLINK("https://www.psychologicalscience.org/redesign/wp-content/uploads/2024/05/2024-APS-Convention-Program-Brochure.pdf","2024 - 36th Annual Convention of Association for Psychological Science (APS)")</f>
        <v>2024 - 36th Annual Convention of Association for Psychological Science (APS)</v>
      </c>
      <c r="C526" s="24" t="s">
        <v>15</v>
      </c>
      <c r="D526" s="17" t="s">
        <v>18</v>
      </c>
      <c r="E526" s="17" t="s">
        <v>3914</v>
      </c>
      <c r="F526" s="16" t="s">
        <v>4242</v>
      </c>
      <c r="G526" s="18">
        <v>5</v>
      </c>
      <c r="H526" s="23" t="s">
        <v>4925</v>
      </c>
      <c r="I526" s="17"/>
    </row>
    <row r="527" spans="1:9" ht="15.9" hidden="1" customHeight="1">
      <c r="A527" s="6">
        <v>523</v>
      </c>
      <c r="B527" s="16" t="str">
        <f>HYPERLINK("https://www.psychologicalscience.org/redesign/wp-content/uploads/2024/02/Program_Book_APS_2023.pdf","2023 - 35th Annual Convention of Association for Psychological Science (APS)")</f>
        <v>2023 - 35th Annual Convention of Association for Psychological Science (APS)</v>
      </c>
      <c r="C527" s="24" t="s">
        <v>15</v>
      </c>
      <c r="D527" s="17" t="s">
        <v>18</v>
      </c>
      <c r="E527" s="17" t="s">
        <v>3914</v>
      </c>
      <c r="F527" s="16" t="s">
        <v>4243</v>
      </c>
      <c r="G527" s="18">
        <v>5</v>
      </c>
      <c r="H527" s="23" t="s">
        <v>4925</v>
      </c>
      <c r="I527" s="17"/>
    </row>
    <row r="528" spans="1:9" ht="15.9" hidden="1" customHeight="1">
      <c r="A528" s="6">
        <v>524</v>
      </c>
      <c r="B528" s="16" t="str">
        <f>HYPERLINK("https://www.psychologicalscience.org/redesign/wp-content/uploads/2022/05/Program_Book_APS_2022-Online.pdf","2022 - 34th Annual Convention of Association for Psychological Science (APS)")</f>
        <v>2022 - 34th Annual Convention of Association for Psychological Science (APS)</v>
      </c>
      <c r="C528" s="24" t="s">
        <v>15</v>
      </c>
      <c r="D528" s="17" t="s">
        <v>18</v>
      </c>
      <c r="E528" s="17" t="s">
        <v>3914</v>
      </c>
      <c r="F528" s="16" t="s">
        <v>4244</v>
      </c>
      <c r="G528" s="18">
        <v>5</v>
      </c>
      <c r="H528" s="23" t="s">
        <v>4925</v>
      </c>
      <c r="I528" s="17"/>
    </row>
    <row r="529" spans="1:9" ht="15.9" hidden="1" customHeight="1">
      <c r="A529" s="6">
        <v>525</v>
      </c>
      <c r="B529" s="16" t="str">
        <f>HYPERLINK("https://www.psychologicalscience.org/redesign/wp-content/uploads/2021/05/APS_2021_Virtual_Convention_interacive.pdf","2021 - 33rd Annual Convention of Association for Psychological Science (APS)")</f>
        <v>2021 - 33rd Annual Convention of Association for Psychological Science (APS)</v>
      </c>
      <c r="C529" s="24" t="s">
        <v>15</v>
      </c>
      <c r="D529" s="17" t="s">
        <v>18</v>
      </c>
      <c r="E529" s="17" t="s">
        <v>3914</v>
      </c>
      <c r="F529" s="16" t="s">
        <v>4245</v>
      </c>
      <c r="G529" s="18">
        <v>5</v>
      </c>
      <c r="H529" s="23" t="s">
        <v>4925</v>
      </c>
      <c r="I529" s="17"/>
    </row>
    <row r="530" spans="1:9" ht="15.9" hidden="1" customHeight="1">
      <c r="A530" s="6">
        <v>526</v>
      </c>
      <c r="B530" s="16" t="str">
        <f>HYPERLINK("https://ajj.swoogo.com/gapna24/5696283","2024 - Annual Conference of the Gerontological Advanced Practice Nurses Association")</f>
        <v>2024 - Annual Conference of the Gerontological Advanced Practice Nurses Association</v>
      </c>
      <c r="C530" s="24" t="s">
        <v>15</v>
      </c>
      <c r="D530" s="17" t="s">
        <v>18</v>
      </c>
      <c r="E530" s="17" t="s">
        <v>4888</v>
      </c>
      <c r="F530" s="16" t="s">
        <v>4889</v>
      </c>
      <c r="G530" s="18">
        <v>9</v>
      </c>
      <c r="H530" s="23" t="s">
        <v>4925</v>
      </c>
      <c r="I530" s="17"/>
    </row>
    <row r="531" spans="1:9" ht="15.9" hidden="1" customHeight="1">
      <c r="A531" s="6">
        <v>527</v>
      </c>
      <c r="B531" s="16" t="str">
        <f>HYPERLINK("https://www.gapna.org/sites/default/files/documents/conference/2023/2023_annual_brochure.pdf","2023 - Annual Conference of the Gerontological Advanced Practice Nurses Association")</f>
        <v>2023 - Annual Conference of the Gerontological Advanced Practice Nurses Association</v>
      </c>
      <c r="C531" s="24" t="s">
        <v>15</v>
      </c>
      <c r="D531" s="17" t="s">
        <v>18</v>
      </c>
      <c r="E531" s="17" t="s">
        <v>4888</v>
      </c>
      <c r="F531" s="16" t="s">
        <v>4890</v>
      </c>
      <c r="G531" s="18">
        <v>9</v>
      </c>
      <c r="H531" s="23" t="s">
        <v>4925</v>
      </c>
      <c r="I531" s="17"/>
    </row>
    <row r="532" spans="1:9" ht="15.9" hidden="1" customHeight="1">
      <c r="A532" s="6">
        <v>528</v>
      </c>
      <c r="B532" s="16" t="str">
        <f>HYPERLINK("https://www.gapna.org/sites/default/files/documents/conference/2022/2022_annual_brochure.pdf","2022 - Annual Conference of the Gerontological Advanced Practice Nurses Association")</f>
        <v>2022 - Annual Conference of the Gerontological Advanced Practice Nurses Association</v>
      </c>
      <c r="C532" s="24" t="s">
        <v>15</v>
      </c>
      <c r="D532" s="17" t="s">
        <v>18</v>
      </c>
      <c r="E532" s="17" t="s">
        <v>4888</v>
      </c>
      <c r="F532" s="16" t="s">
        <v>4891</v>
      </c>
      <c r="G532" s="18">
        <v>9</v>
      </c>
      <c r="H532" s="23" t="s">
        <v>4925</v>
      </c>
      <c r="I532" s="17"/>
    </row>
    <row r="533" spans="1:9" ht="15.9" hidden="1" customHeight="1">
      <c r="A533" s="6">
        <v>529</v>
      </c>
      <c r="B533" s="16" t="str">
        <f>HYPERLINK("https://www.gapna.org/sites/default/files/documents/conference/2021/2021_annual_brochure.pdf","2021 - Annual Conference of the Gerontological Advanced Practice Nurses Association")</f>
        <v>2021 - Annual Conference of the Gerontological Advanced Practice Nurses Association</v>
      </c>
      <c r="C533" s="24" t="s">
        <v>15</v>
      </c>
      <c r="D533" s="17" t="s">
        <v>18</v>
      </c>
      <c r="E533" s="17" t="s">
        <v>4888</v>
      </c>
      <c r="F533" s="16" t="s">
        <v>4892</v>
      </c>
      <c r="G533" s="18">
        <v>9</v>
      </c>
      <c r="H533" s="23" t="s">
        <v>4925</v>
      </c>
      <c r="I533" s="17"/>
    </row>
    <row r="534" spans="1:9" ht="15.9" hidden="1" customHeight="1">
      <c r="A534" s="6">
        <v>530</v>
      </c>
      <c r="B534" s="16" t="str">
        <f>HYPERLINK("https://www.gapna.org/learning/events/annual-conference/2020-annual-conference","2020 - Annual Conference of the Gerontological Advanced Practice Nurses Association")</f>
        <v>2020 - Annual Conference of the Gerontological Advanced Practice Nurses Association</v>
      </c>
      <c r="C534" s="24" t="s">
        <v>15</v>
      </c>
      <c r="D534" s="17" t="s">
        <v>18</v>
      </c>
      <c r="E534" s="17" t="s">
        <v>4888</v>
      </c>
      <c r="F534" s="16" t="s">
        <v>4893</v>
      </c>
      <c r="G534" s="18">
        <v>9</v>
      </c>
      <c r="H534" s="23" t="s">
        <v>4925</v>
      </c>
      <c r="I534" s="17"/>
    </row>
    <row r="535" spans="1:9" ht="15.9" hidden="1" customHeight="1">
      <c r="A535" s="6">
        <v>531</v>
      </c>
      <c r="B535" s="16" t="str">
        <f>HYPERLINK("https://www.gsa2024.org/Program","2024 - Annual Scientific Meeting of the Gerontological Society of America")</f>
        <v>2024 - Annual Scientific Meeting of the Gerontological Society of America</v>
      </c>
      <c r="C535" s="24" t="s">
        <v>15</v>
      </c>
      <c r="D535" s="17" t="s">
        <v>18</v>
      </c>
      <c r="E535" s="17" t="s">
        <v>4894</v>
      </c>
      <c r="F535" s="16" t="s">
        <v>4895</v>
      </c>
      <c r="G535" s="18">
        <v>9</v>
      </c>
      <c r="H535" s="23" t="s">
        <v>4925</v>
      </c>
      <c r="I535" s="17"/>
    </row>
    <row r="536" spans="1:9" ht="15.9" hidden="1" customHeight="1">
      <c r="A536" s="6">
        <v>532</v>
      </c>
      <c r="B536" s="16" t="str">
        <f>HYPERLINK("https://gsa2023.eventscribe.net/agenda.asp?pfp=PresentationsFullSched","2023 - Annual Scientific Meeting of the Gerontological Society of America")</f>
        <v>2023 - Annual Scientific Meeting of the Gerontological Society of America</v>
      </c>
      <c r="C536" s="24" t="s">
        <v>15</v>
      </c>
      <c r="D536" s="17" t="s">
        <v>18</v>
      </c>
      <c r="E536" s="17" t="s">
        <v>4894</v>
      </c>
      <c r="F536" s="16" t="s">
        <v>4896</v>
      </c>
      <c r="G536" s="18">
        <v>9</v>
      </c>
      <c r="H536" s="23" t="s">
        <v>4925</v>
      </c>
      <c r="I536" s="17"/>
    </row>
    <row r="537" spans="1:9" ht="15.9" hidden="1" customHeight="1">
      <c r="A537" s="6">
        <v>533</v>
      </c>
      <c r="B537" s="16" t="str">
        <f>HYPERLINK("https://www.eventscribe.net/2022/GSA2022/agenda.asp?pfp=EdHarvSchedule","2022 - Annual Scientific Meeting of the Gerontological Society of America")</f>
        <v>2022 - Annual Scientific Meeting of the Gerontological Society of America</v>
      </c>
      <c r="C537" s="24" t="s">
        <v>15</v>
      </c>
      <c r="D537" s="17" t="s">
        <v>18</v>
      </c>
      <c r="E537" s="17" t="s">
        <v>4894</v>
      </c>
      <c r="F537" s="16" t="s">
        <v>4897</v>
      </c>
      <c r="G537" s="18">
        <v>9</v>
      </c>
      <c r="H537" s="23" t="s">
        <v>4925</v>
      </c>
      <c r="I537" s="17"/>
    </row>
    <row r="538" spans="1:9" ht="15.9" hidden="1" customHeight="1">
      <c r="A538" s="6">
        <v>534</v>
      </c>
      <c r="B538" s="16" t="str">
        <f>HYPERLINK("https://gero.usc.edu/event/gsa-2021-annual-scientific-meeting/","2021 - Annual Scientific Meeting of the Gerontological Society of America")</f>
        <v>2021 - Annual Scientific Meeting of the Gerontological Society of America</v>
      </c>
      <c r="C538" s="24" t="s">
        <v>15</v>
      </c>
      <c r="D538" s="17" t="s">
        <v>18</v>
      </c>
      <c r="E538" s="17" t="s">
        <v>4894</v>
      </c>
      <c r="F538" s="16" t="s">
        <v>4898</v>
      </c>
      <c r="G538" s="18">
        <v>9</v>
      </c>
      <c r="H538" s="23" t="s">
        <v>4925</v>
      </c>
      <c r="I538" s="17"/>
    </row>
    <row r="539" spans="1:9" ht="15.9" hidden="1" customHeight="1">
      <c r="A539" s="6">
        <v>535</v>
      </c>
      <c r="B539" s="16" t="str">
        <f>HYPERLINK("https://www.johnahartford.org/dissemination-center/view/gsa-2020-annual-scientific-meeting-online","2020 - Annual Scientific Meeting of the Gerontological Society of America")</f>
        <v>2020 - Annual Scientific Meeting of the Gerontological Society of America</v>
      </c>
      <c r="C539" s="24" t="s">
        <v>15</v>
      </c>
      <c r="D539" s="17" t="s">
        <v>18</v>
      </c>
      <c r="E539" s="17" t="s">
        <v>4894</v>
      </c>
      <c r="F539" s="16" t="s">
        <v>4899</v>
      </c>
      <c r="G539" s="18">
        <v>9</v>
      </c>
      <c r="H539" s="23" t="s">
        <v>4925</v>
      </c>
      <c r="I539" s="17"/>
    </row>
    <row r="540" spans="1:9" ht="15.9" hidden="1" customHeight="1">
      <c r="A540" s="6">
        <v>536</v>
      </c>
      <c r="B540" s="16" t="str">
        <f>HYPERLINK("https://mhanational.org/annual-conference/schedule","2024 - Annual Conference of Mental Health America")</f>
        <v>2024 - Annual Conference of Mental Health America</v>
      </c>
      <c r="C540" s="24" t="s">
        <v>15</v>
      </c>
      <c r="D540" s="17" t="s">
        <v>18</v>
      </c>
      <c r="E540" s="17" t="s">
        <v>4260</v>
      </c>
      <c r="F540" s="16" t="s">
        <v>4261</v>
      </c>
      <c r="G540" s="18">
        <v>4</v>
      </c>
      <c r="H540" s="23" t="s">
        <v>4925</v>
      </c>
      <c r="I540" s="17"/>
    </row>
    <row r="541" spans="1:9" ht="15.9" hidden="1" customHeight="1">
      <c r="A541" s="6">
        <v>537</v>
      </c>
      <c r="B541" s="16" t="str">
        <f>HYPERLINK("https://mhanational.org/blog/day-1-2023-mental-health-america-conference-recap","2023 - Annual Conference of Mental Health America")</f>
        <v>2023 - Annual Conference of Mental Health America</v>
      </c>
      <c r="C541" s="24" t="s">
        <v>15</v>
      </c>
      <c r="D541" s="17" t="s">
        <v>18</v>
      </c>
      <c r="E541" s="17" t="s">
        <v>4260</v>
      </c>
      <c r="F541" s="16" t="s">
        <v>4262</v>
      </c>
      <c r="G541" s="18">
        <v>4</v>
      </c>
      <c r="H541" s="23" t="s">
        <v>4925</v>
      </c>
      <c r="I541" s="17"/>
    </row>
    <row r="542" spans="1:9" ht="15.9" hidden="1" customHeight="1">
      <c r="A542" s="6">
        <v>538</v>
      </c>
      <c r="B542" s="16" t="str">
        <f>HYPERLINK("https://wellbeingtrust.org/events/mental-health-america-2022-conference/","2022 - Annual Conference of Mental Health America")</f>
        <v>2022 - Annual Conference of Mental Health America</v>
      </c>
      <c r="C542" s="24" t="s">
        <v>15</v>
      </c>
      <c r="D542" s="17" t="s">
        <v>18</v>
      </c>
      <c r="E542" s="17" t="s">
        <v>4260</v>
      </c>
      <c r="F542" s="16" t="s">
        <v>4263</v>
      </c>
      <c r="G542" s="18">
        <v>4</v>
      </c>
      <c r="H542" s="23" t="s">
        <v>4925</v>
      </c>
      <c r="I542" s="17"/>
    </row>
    <row r="543" spans="1:9" ht="15.9" hidden="1" customHeight="1">
      <c r="A543" s="6">
        <v>539</v>
      </c>
      <c r="B543" s="16" t="str">
        <f>HYPERLINK("https://www.cugmhp.org/events/mental-health-america-2021-annual-conference/","2021 - Annual Conference of Mental Health America")</f>
        <v>2021 - Annual Conference of Mental Health America</v>
      </c>
      <c r="C543" s="24" t="s">
        <v>15</v>
      </c>
      <c r="D543" s="17" t="s">
        <v>18</v>
      </c>
      <c r="E543" s="17" t="s">
        <v>4260</v>
      </c>
      <c r="F543" s="16" t="s">
        <v>4264</v>
      </c>
      <c r="G543" s="18">
        <v>4</v>
      </c>
      <c r="H543" s="23" t="s">
        <v>4925</v>
      </c>
      <c r="I543" s="17"/>
    </row>
    <row r="544" spans="1:9" ht="15.9" hidden="1" customHeight="1">
      <c r="A544" s="6">
        <v>540</v>
      </c>
      <c r="B544" s="16" t="str">
        <f>HYPERLINK("https://mhanational.org/sites/default/files/2020%20MHA%20Conference%20Sponsor%20and%20Promotional%20Opportunities%203.18.20.pdf","2020 - Annual Conference of Mental Health America")</f>
        <v>2020 - Annual Conference of Mental Health America</v>
      </c>
      <c r="C544" s="24" t="s">
        <v>15</v>
      </c>
      <c r="D544" s="17" t="s">
        <v>18</v>
      </c>
      <c r="E544" s="17" t="s">
        <v>4260</v>
      </c>
      <c r="F544" s="16" t="s">
        <v>4265</v>
      </c>
      <c r="G544" s="18">
        <v>4</v>
      </c>
      <c r="H544" s="23" t="s">
        <v>4925</v>
      </c>
      <c r="I544" s="17"/>
    </row>
    <row r="545" spans="1:9" ht="15.9" hidden="1" customHeight="1">
      <c r="A545" s="6">
        <v>541</v>
      </c>
      <c r="B545" s="16" t="str">
        <f>HYPERLINK("https://s2.goeshow.com/nan/annual/2024/documents/NAN2024_SAG.pdf","2024 - 44th National Conference on National Academy of Neuropsychology")</f>
        <v>2024 - 44th National Conference on National Academy of Neuropsychology</v>
      </c>
      <c r="C545" s="24" t="s">
        <v>15</v>
      </c>
      <c r="D545" s="17" t="s">
        <v>18</v>
      </c>
      <c r="E545" s="17" t="s">
        <v>4266</v>
      </c>
      <c r="F545" s="16" t="s">
        <v>4267</v>
      </c>
      <c r="G545" s="18">
        <v>5</v>
      </c>
      <c r="H545" s="23" t="s">
        <v>4925</v>
      </c>
      <c r="I545" s="17"/>
    </row>
    <row r="546" spans="1:9" ht="15.9" hidden="1" customHeight="1">
      <c r="A546" s="6">
        <v>542</v>
      </c>
      <c r="B546" s="16" t="str">
        <f>HYPERLINK("https://nan2023.eventscribe.net/agenda.asp?BCFO=&amp;pfp=BrowsebyDay&amp;fa=&amp;fb=&amp;fc=&amp;fd=&amp;all=1&amp;mode=","2023 - 43rd National Conference on National Academy of Neuropsychology")</f>
        <v>2023 - 43rd National Conference on National Academy of Neuropsychology</v>
      </c>
      <c r="C546" s="24" t="s">
        <v>15</v>
      </c>
      <c r="D546" s="17" t="s">
        <v>18</v>
      </c>
      <c r="E546" s="17" t="s">
        <v>4266</v>
      </c>
      <c r="F546" s="16" t="s">
        <v>4268</v>
      </c>
      <c r="G546" s="18">
        <v>5</v>
      </c>
      <c r="H546" s="23" t="s">
        <v>4925</v>
      </c>
      <c r="I546" s="17"/>
    </row>
    <row r="547" spans="1:9" ht="15.9" hidden="1" customHeight="1">
      <c r="A547" s="6">
        <v>543</v>
      </c>
      <c r="B547" s="16" t="str">
        <f>HYPERLINK("https://www.eventscribe.net/2022/NAN/SearchByBucket.asp?f=TrackName&amp;bm=OnDemand&amp;pfp=BrowseOnDemand","2022 - 42nd National Conference on National Academy of Neuropsychology")</f>
        <v>2022 - 42nd National Conference on National Academy of Neuropsychology</v>
      </c>
      <c r="C547" s="24" t="s">
        <v>15</v>
      </c>
      <c r="D547" s="17" t="s">
        <v>18</v>
      </c>
      <c r="E547" s="17" t="s">
        <v>4266</v>
      </c>
      <c r="F547" s="16" t="s">
        <v>4269</v>
      </c>
      <c r="G547" s="18">
        <v>5</v>
      </c>
      <c r="H547" s="23" t="s">
        <v>4925</v>
      </c>
      <c r="I547" s="17"/>
    </row>
    <row r="548" spans="1:9" ht="15.9" hidden="1" customHeight="1">
      <c r="A548" s="6">
        <v>544</v>
      </c>
      <c r="B548" s="16" t="str">
        <f>HYPERLINK("https://www.nanonline.org/NAN/_ContinuingEducation/_Conference/2021_DC/2021_Conference.aspx","2021 - 41st National Conference on National Academy of Neuropsychology")</f>
        <v>2021 - 41st National Conference on National Academy of Neuropsychology</v>
      </c>
      <c r="C548" s="24" t="s">
        <v>15</v>
      </c>
      <c r="D548" s="17" t="s">
        <v>18</v>
      </c>
      <c r="E548" s="17" t="s">
        <v>4266</v>
      </c>
      <c r="F548" s="16" t="s">
        <v>4270</v>
      </c>
      <c r="G548" s="18">
        <v>5</v>
      </c>
      <c r="H548" s="23" t="s">
        <v>4925</v>
      </c>
      <c r="I548" s="17"/>
    </row>
    <row r="549" spans="1:9" ht="15.9" hidden="1" customHeight="1">
      <c r="A549" s="6">
        <v>545</v>
      </c>
      <c r="B549" s="16" t="str">
        <f>HYPERLINK("https://www.nanonline.org/NAN/_ContinuingEducation/_Conference/2020_Chicago/2020_Annual_Conference.aspx","2020 - 40th National Conference on National Academy of Neuropsychology")</f>
        <v>2020 - 40th National Conference on National Academy of Neuropsychology</v>
      </c>
      <c r="C549" s="24" t="s">
        <v>15</v>
      </c>
      <c r="D549" s="17" t="s">
        <v>18</v>
      </c>
      <c r="E549" s="17" t="s">
        <v>4266</v>
      </c>
      <c r="F549" s="16" t="s">
        <v>4271</v>
      </c>
      <c r="G549" s="18">
        <v>5</v>
      </c>
      <c r="H549" s="23" t="s">
        <v>4925</v>
      </c>
      <c r="I549" s="17"/>
    </row>
    <row r="550" spans="1:9" ht="15.9" hidden="1" customHeight="1">
      <c r="A550" s="6">
        <v>546</v>
      </c>
      <c r="B550" s="16" t="str">
        <f>HYPERLINK("https://www.psychonomic.org/page/2024program","2024 - 65th Annual Meeting of the Psychonomic Society")</f>
        <v>2024 - 65th Annual Meeting of the Psychonomic Society</v>
      </c>
      <c r="C550" s="24" t="s">
        <v>15</v>
      </c>
      <c r="D550" s="17" t="s">
        <v>18</v>
      </c>
      <c r="E550" s="17" t="s">
        <v>4272</v>
      </c>
      <c r="F550" s="16" t="s">
        <v>4273</v>
      </c>
      <c r="G550" s="18">
        <v>5</v>
      </c>
      <c r="H550" s="23" t="s">
        <v>4925</v>
      </c>
      <c r="I550" s="17"/>
    </row>
    <row r="551" spans="1:9" ht="15.9" hidden="1" customHeight="1">
      <c r="A551" s="6">
        <v>547</v>
      </c>
      <c r="B551" s="16" t="str">
        <f>HYPERLINK("https://www.psychonomic.org/page/2023program","2023 - 64th Annual Meeting of the Psychonomic Society")</f>
        <v>2023 - 64th Annual Meeting of the Psychonomic Society</v>
      </c>
      <c r="C551" s="24" t="s">
        <v>15</v>
      </c>
      <c r="D551" s="17" t="s">
        <v>18</v>
      </c>
      <c r="E551" s="17" t="s">
        <v>4272</v>
      </c>
      <c r="F551" s="16" t="s">
        <v>4274</v>
      </c>
      <c r="G551" s="18">
        <v>5</v>
      </c>
      <c r="H551" s="23" t="s">
        <v>4925</v>
      </c>
      <c r="I551" s="17"/>
    </row>
    <row r="552" spans="1:9" ht="15.9" hidden="1" customHeight="1">
      <c r="A552" s="6">
        <v>548</v>
      </c>
      <c r="B552" s="16" t="str">
        <f>HYPERLINK("https://www.psychonomic.org/page/2022annualmeeting","2022 - 63rd Annual Meeting of the Psychonomic Society")</f>
        <v>2022 - 63rd Annual Meeting of the Psychonomic Society</v>
      </c>
      <c r="C552" s="24" t="s">
        <v>15</v>
      </c>
      <c r="D552" s="17" t="s">
        <v>18</v>
      </c>
      <c r="E552" s="17" t="s">
        <v>4272</v>
      </c>
      <c r="F552" s="16" t="s">
        <v>4275</v>
      </c>
      <c r="G552" s="18">
        <v>5</v>
      </c>
      <c r="H552" s="23" t="s">
        <v>4925</v>
      </c>
      <c r="I552" s="17"/>
    </row>
    <row r="553" spans="1:9" ht="15.9" hidden="1" customHeight="1">
      <c r="A553" s="6">
        <v>549</v>
      </c>
      <c r="B553" s="16" t="str">
        <f>HYPERLINK("https://www.psychonomic.org/page/2021program","2021 - 62nd Annual Meeting of the Psychonomic Society")</f>
        <v>2021 - 62nd Annual Meeting of the Psychonomic Society</v>
      </c>
      <c r="C553" s="24" t="s">
        <v>15</v>
      </c>
      <c r="D553" s="17" t="s">
        <v>18</v>
      </c>
      <c r="E553" s="17" t="s">
        <v>4272</v>
      </c>
      <c r="F553" s="16" t="s">
        <v>4276</v>
      </c>
      <c r="G553" s="18">
        <v>5</v>
      </c>
      <c r="H553" s="23" t="s">
        <v>4925</v>
      </c>
      <c r="I553" s="17"/>
    </row>
    <row r="554" spans="1:9" ht="15.9" hidden="1" customHeight="1">
      <c r="A554" s="6">
        <v>550</v>
      </c>
      <c r="B554" s="16" t="str">
        <f>HYPERLINK("https://www.psychonomic.org/page/2020program","2020 - 61st Annual Meeting of the Psychonomic Society")</f>
        <v>2020 - 61st Annual Meeting of the Psychonomic Society</v>
      </c>
      <c r="C554" s="24" t="s">
        <v>15</v>
      </c>
      <c r="D554" s="17" t="s">
        <v>18</v>
      </c>
      <c r="E554" s="17" t="s">
        <v>4272</v>
      </c>
      <c r="F554" s="16" t="s">
        <v>4277</v>
      </c>
      <c r="G554" s="18">
        <v>5</v>
      </c>
      <c r="H554" s="23" t="s">
        <v>4925</v>
      </c>
      <c r="I554" s="17"/>
    </row>
    <row r="555" spans="1:9" ht="15.9" hidden="1" customHeight="1">
      <c r="A555" s="6">
        <v>551</v>
      </c>
      <c r="B555" s="16" t="str">
        <f>HYPERLINK("https://soblackneuro.org/2022-virtual-symposium/agenda/","2022 - Annual Symposium on Society for Black Neuropsychology")</f>
        <v>2022 - Annual Symposium on Society for Black Neuropsychology</v>
      </c>
      <c r="C555" s="24" t="s">
        <v>15</v>
      </c>
      <c r="D555" s="17" t="s">
        <v>18</v>
      </c>
      <c r="E555" s="17" t="s">
        <v>4278</v>
      </c>
      <c r="F555" s="16" t="s">
        <v>4279</v>
      </c>
      <c r="G555" s="18">
        <v>5</v>
      </c>
      <c r="H555" s="23" t="s">
        <v>4925</v>
      </c>
      <c r="I555" s="17"/>
    </row>
    <row r="556" spans="1:9" ht="15.9" hidden="1" customHeight="1">
      <c r="A556" s="6">
        <v>552</v>
      </c>
      <c r="B556" s="16" t="str">
        <f>HYPERLINK("https://apadiv1.org/news-events/conferences/","2024 - Society for General Psychology (Division 1) Conference")</f>
        <v>2024 - Society for General Psychology (Division 1) Conference</v>
      </c>
      <c r="C556" s="24" t="s">
        <v>15</v>
      </c>
      <c r="D556" s="17" t="s">
        <v>18</v>
      </c>
      <c r="E556" s="17" t="s">
        <v>4280</v>
      </c>
      <c r="F556" s="16" t="s">
        <v>4281</v>
      </c>
      <c r="G556" s="18">
        <v>5</v>
      </c>
      <c r="H556" s="23" t="s">
        <v>4925</v>
      </c>
      <c r="I556" s="17"/>
    </row>
    <row r="557" spans="1:9" ht="15.9" hidden="1" customHeight="1">
      <c r="A557" s="6">
        <v>553</v>
      </c>
      <c r="B557" s="16" t="str">
        <f>HYPERLINK("https://spsp.org/sites/default/files/2024-02/SPSP-2024-Convention-Program.pdf","2024 - Annual Convention of Society for Personality and Social Psychology")</f>
        <v>2024 - Annual Convention of Society for Personality and Social Psychology</v>
      </c>
      <c r="C557" s="24" t="s">
        <v>15</v>
      </c>
      <c r="D557" s="17" t="s">
        <v>18</v>
      </c>
      <c r="E557" s="17" t="s">
        <v>4282</v>
      </c>
      <c r="F557" s="16" t="s">
        <v>4283</v>
      </c>
      <c r="G557" s="18">
        <v>5</v>
      </c>
      <c r="H557" s="23" t="s">
        <v>4925</v>
      </c>
      <c r="I557" s="17"/>
    </row>
    <row r="558" spans="1:9" ht="15.9" hidden="1" customHeight="1">
      <c r="A558" s="6">
        <v>554</v>
      </c>
      <c r="B558" s="16" t="str">
        <f>HYPERLINK("https://spsp.org/sites/default/files/2023-02/SPSP-2023-Convention-Agenda_2.pdf","2023 - Annual Convention of Society for Personality and Social Psychology")</f>
        <v>2023 - Annual Convention of Society for Personality and Social Psychology</v>
      </c>
      <c r="C558" s="24" t="s">
        <v>15</v>
      </c>
      <c r="D558" s="17" t="s">
        <v>18</v>
      </c>
      <c r="E558" s="17" t="s">
        <v>4282</v>
      </c>
      <c r="F558" s="16" t="s">
        <v>4284</v>
      </c>
      <c r="G558" s="18">
        <v>5</v>
      </c>
      <c r="H558" s="23" t="s">
        <v>4925</v>
      </c>
      <c r="I558" s="17"/>
    </row>
    <row r="559" spans="1:9" ht="15.9" hidden="1" customHeight="1">
      <c r="A559" s="6">
        <v>555</v>
      </c>
      <c r="B559" s="16" t="str">
        <f>HYPERLINK("https://spsp.org/sites/default/files/2023-04/SPSP-2022-Convention-Agenda-2.pdf","2022 - Annual Convention of Society for Personality and Social Psychology")</f>
        <v>2022 - Annual Convention of Society for Personality and Social Psychology</v>
      </c>
      <c r="C559" s="24" t="s">
        <v>15</v>
      </c>
      <c r="D559" s="17" t="s">
        <v>18</v>
      </c>
      <c r="E559" s="17" t="s">
        <v>4282</v>
      </c>
      <c r="F559" s="16" t="s">
        <v>4285</v>
      </c>
      <c r="G559" s="18">
        <v>5</v>
      </c>
      <c r="H559" s="23" t="s">
        <v>4925</v>
      </c>
      <c r="I559" s="17"/>
    </row>
    <row r="560" spans="1:9" ht="15.9" hidden="1" customHeight="1">
      <c r="A560" s="6">
        <v>556</v>
      </c>
      <c r="B560" s="16" t="str">
        <f>HYPERLINK("https://spsp.org/sites/default/files/2023-04/SPSP-2021-Virtual-Convention-Agenda-6.pdf","2021 - Annual Convention of Society for Personality and Social Psychology")</f>
        <v>2021 - Annual Convention of Society for Personality and Social Psychology</v>
      </c>
      <c r="C560" s="24" t="s">
        <v>15</v>
      </c>
      <c r="D560" s="17" t="s">
        <v>18</v>
      </c>
      <c r="E560" s="17" t="s">
        <v>4282</v>
      </c>
      <c r="F560" s="16" t="s">
        <v>4286</v>
      </c>
      <c r="G560" s="18">
        <v>5</v>
      </c>
      <c r="H560" s="23" t="s">
        <v>4925</v>
      </c>
      <c r="I560" s="17"/>
    </row>
    <row r="561" spans="1:9" ht="15.9" hidden="1" customHeight="1">
      <c r="A561" s="6">
        <v>557</v>
      </c>
      <c r="B561" s="16" t="str">
        <f>HYPERLINK("https://spsp.org/sites/default/files/2023-04/SPSP-2020-Convention-Print-Program.pdf","2020 - Annual Convention of Society for Personality and Social Psychology")</f>
        <v>2020 - Annual Convention of Society for Personality and Social Psychology</v>
      </c>
      <c r="C561" s="24" t="s">
        <v>15</v>
      </c>
      <c r="D561" s="17" t="s">
        <v>18</v>
      </c>
      <c r="E561" s="17" t="s">
        <v>4282</v>
      </c>
      <c r="F561" s="16" t="s">
        <v>4287</v>
      </c>
      <c r="G561" s="18">
        <v>5</v>
      </c>
      <c r="H561" s="23" t="s">
        <v>4925</v>
      </c>
      <c r="I561" s="17"/>
    </row>
    <row r="562" spans="1:9" ht="15.9" hidden="1" customHeight="1">
      <c r="A562" s="6">
        <v>558</v>
      </c>
      <c r="B562" s="16" t="str">
        <f>HYPERLINK("https://www.spritalia.org/images/SPR_ITALIA/CONGRESSI/2024_PROGRAMMA_PROVVISORIO.pdf","2024 - XV National Congress Society for Psychotherapy Research Italy Area Group")</f>
        <v>2024 - XV National Congress Society for Psychotherapy Research Italy Area Group</v>
      </c>
      <c r="C562" s="24" t="s">
        <v>15</v>
      </c>
      <c r="D562" s="17" t="s">
        <v>18</v>
      </c>
      <c r="E562" s="17" t="s">
        <v>4288</v>
      </c>
      <c r="F562" s="16" t="s">
        <v>4291</v>
      </c>
      <c r="G562" s="18">
        <v>5</v>
      </c>
      <c r="H562" s="23" t="s">
        <v>4925</v>
      </c>
      <c r="I562" s="17"/>
    </row>
    <row r="563" spans="1:9" ht="15.9" hidden="1" customHeight="1">
      <c r="A563" s="6">
        <v>559</v>
      </c>
      <c r="B563" s="16" t="str">
        <f>HYPERLINK("https://sites.google.com/view/naspr2023conference-mainwebsit/scientific-program?authuser=0","2023 - Chapter Meeting on North American Society for Psychotherapy Research")</f>
        <v>2023 - Chapter Meeting on North American Society for Psychotherapy Research</v>
      </c>
      <c r="C563" s="24" t="s">
        <v>15</v>
      </c>
      <c r="D563" s="17" t="s">
        <v>18</v>
      </c>
      <c r="E563" s="17" t="s">
        <v>4288</v>
      </c>
      <c r="F563" s="16" t="s">
        <v>4293</v>
      </c>
      <c r="G563" s="18">
        <v>5</v>
      </c>
      <c r="H563" s="23" t="s">
        <v>4925</v>
      </c>
      <c r="I563" s="17"/>
    </row>
    <row r="564" spans="1:9" ht="15.9" hidden="1" customHeight="1">
      <c r="A564" s="6">
        <v>560</v>
      </c>
      <c r="B564" s="16" t="str">
        <f>HYPERLINK("https://www.spritalia.org/images/SPR_ITALIA/CONGRESSI/PROGRAMMA_SPR-IAG.pdf","2022 - XIV National Congress Society for Psychotherapy Research Italy Area Group")</f>
        <v>2022 - XIV National Congress Society for Psychotherapy Research Italy Area Group</v>
      </c>
      <c r="C564" s="24" t="s">
        <v>15</v>
      </c>
      <c r="D564" s="17" t="s">
        <v>18</v>
      </c>
      <c r="E564" s="17" t="s">
        <v>4288</v>
      </c>
      <c r="F564" s="16" t="s">
        <v>4296</v>
      </c>
      <c r="G564" s="18">
        <v>5</v>
      </c>
      <c r="H564" s="23" t="s">
        <v>4925</v>
      </c>
      <c r="I564" s="17"/>
    </row>
    <row r="565" spans="1:9" ht="15.9" hidden="1" customHeight="1">
      <c r="A565" s="6">
        <v>561</v>
      </c>
      <c r="B565" s="16" t="str">
        <f>HYPERLINK("https://drive.google.com/file/d/1N2g8K4fC0CNI57KgpR6G71E3r445Q7os/view","2021 - Chapter Meeting on North American Society for Psychotherapy Research")</f>
        <v>2021 - Chapter Meeting on North American Society for Psychotherapy Research</v>
      </c>
      <c r="C565" s="24" t="s">
        <v>15</v>
      </c>
      <c r="D565" s="17" t="s">
        <v>18</v>
      </c>
      <c r="E565" s="17" t="s">
        <v>4288</v>
      </c>
      <c r="F565" s="16" t="s">
        <v>4298</v>
      </c>
      <c r="G565" s="18">
        <v>5</v>
      </c>
      <c r="H565" s="23" t="s">
        <v>4925</v>
      </c>
      <c r="I565" s="17"/>
    </row>
    <row r="566" spans="1:9" ht="15.9" hidden="1" customHeight="1">
      <c r="A566" s="6">
        <v>562</v>
      </c>
      <c r="B566" s="16" t="str">
        <f>HYPERLINK("https://pmg.joynadmin.org/documents/1036/66397cae2036d74f70327fd2.pdf","2024 - 79th Annual Meeting of Society of Biological Psychiatry")</f>
        <v>2024 - 79th Annual Meeting of Society of Biological Psychiatry</v>
      </c>
      <c r="C566" s="24" t="s">
        <v>15</v>
      </c>
      <c r="D566" s="17" t="s">
        <v>18</v>
      </c>
      <c r="E566" s="17" t="s">
        <v>4455</v>
      </c>
      <c r="F566" s="16" t="s">
        <v>4900</v>
      </c>
      <c r="G566" s="18">
        <v>4</v>
      </c>
      <c r="H566" s="23" t="s">
        <v>4925</v>
      </c>
      <c r="I566" s="17"/>
    </row>
    <row r="567" spans="1:9" ht="15.9" hidden="1" customHeight="1">
      <c r="A567" s="6">
        <v>563</v>
      </c>
      <c r="B567" s="16" t="str">
        <f>HYPERLINK("https://pmg.joynadmin.org/documents/1036/642af623c8c95a5d94196de2.pdf","2023 - 78th Annual Meeting of Society of Biological Psychiatry")</f>
        <v>2023 - 78th Annual Meeting of Society of Biological Psychiatry</v>
      </c>
      <c r="C567" s="24" t="s">
        <v>15</v>
      </c>
      <c r="D567" s="17" t="s">
        <v>18</v>
      </c>
      <c r="E567" s="17" t="s">
        <v>4455</v>
      </c>
      <c r="F567" s="16" t="s">
        <v>4901</v>
      </c>
      <c r="G567" s="18">
        <v>4</v>
      </c>
      <c r="H567" s="23" t="s">
        <v>4925</v>
      </c>
      <c r="I567" s="17"/>
    </row>
    <row r="568" spans="1:9" ht="15.9" hidden="1" customHeight="1">
      <c r="A568" s="6">
        <v>564</v>
      </c>
      <c r="B568" s="16" t="str">
        <f>HYPERLINK("https://experts.colorado.edu/display/conference_01481199230","2022 - 77th Annual Meeting of Society of Biological Psychiatry")</f>
        <v>2022 - 77th Annual Meeting of Society of Biological Psychiatry</v>
      </c>
      <c r="C568" s="24" t="s">
        <v>15</v>
      </c>
      <c r="D568" s="17" t="s">
        <v>18</v>
      </c>
      <c r="E568" s="17" t="s">
        <v>4455</v>
      </c>
      <c r="F568" s="16" t="s">
        <v>4902</v>
      </c>
      <c r="G568" s="18">
        <v>4</v>
      </c>
      <c r="H568" s="23" t="s">
        <v>4925</v>
      </c>
      <c r="I568" s="17"/>
    </row>
    <row r="569" spans="1:9" ht="15.9" hidden="1" customHeight="1">
      <c r="A569" s="6">
        <v>565</v>
      </c>
      <c r="B569" s="16" t="str">
        <f>HYPERLINK("https://www.biologicalpsychiatryjournal.com/article/S0006-3223(21)01107-0/abstract","2021 - 76th Virtual Annual Meeting of Society of Biological Psychiatry")</f>
        <v>2021 - 76th Virtual Annual Meeting of Society of Biological Psychiatry</v>
      </c>
      <c r="C569" s="24" t="s">
        <v>15</v>
      </c>
      <c r="D569" s="17" t="s">
        <v>18</v>
      </c>
      <c r="E569" s="17" t="s">
        <v>4455</v>
      </c>
      <c r="F569" s="16" t="s">
        <v>4903</v>
      </c>
      <c r="G569" s="18">
        <v>4</v>
      </c>
      <c r="H569" s="23" t="s">
        <v>4925</v>
      </c>
      <c r="I569" s="17"/>
    </row>
    <row r="570" spans="1:9" ht="15.9" hidden="1" customHeight="1">
      <c r="A570" s="6">
        <v>566</v>
      </c>
      <c r="B570" s="16" t="str">
        <f>HYPERLINK("https://nncionline.org/event/2020-society-of-biological-psychiatry-sobp-annual-meeting-new-york-ny/","2020 - 75th Virtual Annual Meeting of Society of Biological Psychiatry")</f>
        <v>2020 - 75th Virtual Annual Meeting of Society of Biological Psychiatry</v>
      </c>
      <c r="C570" s="24" t="s">
        <v>15</v>
      </c>
      <c r="D570" s="17" t="s">
        <v>18</v>
      </c>
      <c r="E570" s="17" t="s">
        <v>4455</v>
      </c>
      <c r="F570" s="16" t="s">
        <v>4904</v>
      </c>
      <c r="G570" s="18">
        <v>4</v>
      </c>
      <c r="H570" s="23" t="s">
        <v>4925</v>
      </c>
      <c r="I570" s="17"/>
    </row>
    <row r="571" spans="1:9" ht="15.9" hidden="1" customHeight="1">
      <c r="A571" s="6">
        <v>567</v>
      </c>
      <c r="B571" s="16" t="str">
        <f>HYPERLINK("https://www.societyofconsultingpsychology.org/2024-agenda/","2024 - Society of Consulting Psychology Annual Conference")</f>
        <v>2024 - Society of Consulting Psychology Annual Conference</v>
      </c>
      <c r="C571" s="24" t="s">
        <v>15</v>
      </c>
      <c r="D571" s="17" t="s">
        <v>18</v>
      </c>
      <c r="E571" s="17" t="s">
        <v>4299</v>
      </c>
      <c r="F571" s="16" t="s">
        <v>4300</v>
      </c>
      <c r="G571" s="18">
        <v>5</v>
      </c>
      <c r="H571" s="23" t="s">
        <v>4925</v>
      </c>
      <c r="I571" s="17"/>
    </row>
    <row r="572" spans="1:9" ht="15.9" hidden="1" customHeight="1">
      <c r="A572" s="6">
        <v>568</v>
      </c>
      <c r="B572" s="16" t="str">
        <f>HYPERLINK("https://www.societyofconsultingpsychology.org/wp-content/uploads/2023/01/SCP-Conference-Program8.pdf","2023 - Society of Consulting Psychology Annual Conference")</f>
        <v>2023 - Society of Consulting Psychology Annual Conference</v>
      </c>
      <c r="C572" s="24" t="s">
        <v>15</v>
      </c>
      <c r="D572" s="17" t="s">
        <v>18</v>
      </c>
      <c r="E572" s="17" t="s">
        <v>4299</v>
      </c>
      <c r="F572" s="16" t="s">
        <v>4301</v>
      </c>
      <c r="G572" s="18">
        <v>5</v>
      </c>
      <c r="H572" s="23" t="s">
        <v>4925</v>
      </c>
      <c r="I572" s="17"/>
    </row>
    <row r="573" spans="1:9" ht="15.9" hidden="1" customHeight="1">
      <c r="A573" s="6">
        <v>569</v>
      </c>
      <c r="B573" s="16" t="str">
        <f>HYPERLINK("https://www.societyofconsultingpsychology.org/wp-content/uploads/2022/02/30036-SCP-Conference-Program7.pdf","2022 - Society of Consulting Psychology Annual Conference")</f>
        <v>2022 - Society of Consulting Psychology Annual Conference</v>
      </c>
      <c r="C573" s="24" t="s">
        <v>15</v>
      </c>
      <c r="D573" s="17" t="s">
        <v>18</v>
      </c>
      <c r="E573" s="17" t="s">
        <v>4299</v>
      </c>
      <c r="F573" s="16" t="s">
        <v>4302</v>
      </c>
      <c r="G573" s="18">
        <v>5</v>
      </c>
      <c r="H573" s="23" t="s">
        <v>4925</v>
      </c>
      <c r="I573" s="17"/>
    </row>
    <row r="574" spans="1:9" ht="15.9" hidden="1" customHeight="1">
      <c r="A574" s="6">
        <v>570</v>
      </c>
      <c r="B574" s="16" t="str">
        <f>HYPERLINK("https://www.emedevents.com/online-cme-courses/live-webinar/2021-society-of-consulting-psychology-scp-annual-conference","2021 - Society of Consulting Psychology Annual Conference")</f>
        <v>2021 - Society of Consulting Psychology Annual Conference</v>
      </c>
      <c r="C574" s="24" t="s">
        <v>15</v>
      </c>
      <c r="D574" s="17" t="s">
        <v>18</v>
      </c>
      <c r="E574" s="17" t="s">
        <v>4299</v>
      </c>
      <c r="F574" s="16" t="s">
        <v>4303</v>
      </c>
      <c r="G574" s="18">
        <v>5</v>
      </c>
      <c r="H574" s="23" t="s">
        <v>4925</v>
      </c>
      <c r="I574" s="17"/>
    </row>
    <row r="575" spans="1:9" ht="15.9" hidden="1" customHeight="1">
      <c r="A575" s="6">
        <v>571</v>
      </c>
      <c r="B575" s="16" t="str">
        <f>HYPERLINK("https://www.emedevents.com/c/medical-conferences-2020/2020-society-of-consulting-psychology-scp-annual-conference","2020 - Society of Consulting Psychology Annual Conference")</f>
        <v>2020 - Society of Consulting Psychology Annual Conference</v>
      </c>
      <c r="C575" s="24" t="s">
        <v>15</v>
      </c>
      <c r="D575" s="17" t="s">
        <v>18</v>
      </c>
      <c r="E575" s="17" t="s">
        <v>4299</v>
      </c>
      <c r="F575" s="16" t="s">
        <v>4304</v>
      </c>
      <c r="G575" s="18">
        <v>5</v>
      </c>
      <c r="H575" s="23" t="s">
        <v>4925</v>
      </c>
      <c r="I575" s="17"/>
    </row>
    <row r="576" spans="1:9" ht="15.9" hidden="1" customHeight="1">
      <c r="A576" s="6">
        <v>572</v>
      </c>
      <c r="B576" s="16" t="str">
        <f>HYPERLINK("https://www.usagainstalzheimers.org/AlzSummit","2024 - National Alzheimer's Summit of the UsAgainstAlzheimer’s")</f>
        <v>2024 - National Alzheimer's Summit of the UsAgainstAlzheimer’s</v>
      </c>
      <c r="C576" s="24" t="s">
        <v>15</v>
      </c>
      <c r="D576" s="17" t="s">
        <v>18</v>
      </c>
      <c r="E576" s="17" t="s">
        <v>4905</v>
      </c>
      <c r="F576" s="16" t="s">
        <v>4906</v>
      </c>
      <c r="G576" s="18">
        <v>6</v>
      </c>
      <c r="H576" s="23" t="s">
        <v>4335</v>
      </c>
      <c r="I576" s="17"/>
    </row>
    <row r="577" spans="1:9" ht="15.9" hidden="1" customHeight="1">
      <c r="A577" s="6">
        <v>573</v>
      </c>
      <c r="B577" s="16" t="str">
        <f>HYPERLINK("https://www.usa2summit.org/#schedule","2023 - National Alzheimer's Summit of the UsAgainstAlzheimer’s")</f>
        <v>2023 - National Alzheimer's Summit of the UsAgainstAlzheimer’s</v>
      </c>
      <c r="C577" s="24" t="s">
        <v>15</v>
      </c>
      <c r="D577" s="17" t="s">
        <v>18</v>
      </c>
      <c r="E577" s="17" t="s">
        <v>4905</v>
      </c>
      <c r="F577" s="16" t="s">
        <v>4907</v>
      </c>
      <c r="G577" s="18">
        <v>6</v>
      </c>
      <c r="H577" s="23" t="s">
        <v>4335</v>
      </c>
      <c r="I577" s="17"/>
    </row>
    <row r="578" spans="1:9" ht="15.9" hidden="1" customHeight="1">
      <c r="A578" s="6">
        <v>574</v>
      </c>
      <c r="B578" s="16" t="str">
        <f>HYPERLINK("https://www.usa2summit.org/archives/2022/home-2022#schedule","2022 - National Alzheimer's Summit of the UsAgainstAlzheimer’s")</f>
        <v>2022 - National Alzheimer's Summit of the UsAgainstAlzheimer’s</v>
      </c>
      <c r="C578" s="24" t="s">
        <v>15</v>
      </c>
      <c r="D578" s="17" t="s">
        <v>18</v>
      </c>
      <c r="E578" s="17" t="s">
        <v>4905</v>
      </c>
      <c r="F578" s="16" t="s">
        <v>4908</v>
      </c>
      <c r="G578" s="18">
        <v>6</v>
      </c>
      <c r="H578" s="23" t="s">
        <v>4335</v>
      </c>
      <c r="I578" s="17"/>
    </row>
    <row r="579" spans="1:9" ht="15.9" hidden="1" customHeight="1">
      <c r="A579" s="6">
        <v>575</v>
      </c>
      <c r="B579" s="16" t="str">
        <f>HYPERLINK("https://www.usa2summit.org/archives/2021/home-2021","2021 - National Alzheimer's Virtual Summit of the UsAgainstAlzheimer’s")</f>
        <v>2021 - National Alzheimer's Virtual Summit of the UsAgainstAlzheimer’s</v>
      </c>
      <c r="C579" s="24" t="s">
        <v>15</v>
      </c>
      <c r="D579" s="17" t="s">
        <v>18</v>
      </c>
      <c r="E579" s="17" t="s">
        <v>4905</v>
      </c>
      <c r="F579" s="16" t="s">
        <v>4909</v>
      </c>
      <c r="G579" s="18">
        <v>6</v>
      </c>
      <c r="H579" s="23" t="s">
        <v>4335</v>
      </c>
      <c r="I579" s="17"/>
    </row>
    <row r="580" spans="1:9" ht="15.9" hidden="1" customHeight="1">
      <c r="A580" s="6">
        <v>576</v>
      </c>
      <c r="B580" s="16" t="str">
        <f>HYPERLINK("https://www.usa2summit.org/archives/2020/home-2020#schedule","2020 - National Alzheimer's Virtual Summit of the UsAgainstAlzheimer’s")</f>
        <v>2020 - National Alzheimer's Virtual Summit of the UsAgainstAlzheimer’s</v>
      </c>
      <c r="C580" s="24" t="s">
        <v>15</v>
      </c>
      <c r="D580" s="17" t="s">
        <v>18</v>
      </c>
      <c r="E580" s="17" t="s">
        <v>4905</v>
      </c>
      <c r="F580" s="16" t="s">
        <v>4910</v>
      </c>
      <c r="G580" s="18">
        <v>6</v>
      </c>
      <c r="H580" s="23" t="s">
        <v>4335</v>
      </c>
      <c r="I580" s="17"/>
    </row>
    <row r="581" spans="1:9" ht="15.9" customHeight="1"/>
  </sheetData>
  <autoFilter ref="A4:J580" xr:uid="{00000000-0009-0000-0000-000002000000}">
    <filterColumn colId="2">
      <filters>
        <filter val="Regional"/>
      </filters>
    </filterColumn>
  </autoFilter>
  <sortState xmlns:xlrd2="http://schemas.microsoft.com/office/spreadsheetml/2017/richdata2" ref="A5:J580">
    <sortCondition ref="C5:C580" customList="International,Regional,National"/>
    <sortCondition ref="D5:D580"/>
    <sortCondition ref="E5:E580"/>
  </sortState>
  <mergeCells count="2">
    <mergeCell ref="A1:I1"/>
    <mergeCell ref="A2:I3"/>
  </mergeCells>
  <hyperlinks>
    <hyperlink ref="F32" r:id="rId1" xr:uid="{00000000-0004-0000-0200-000000000000}"/>
    <hyperlink ref="F31" r:id="rId2" xr:uid="{00000000-0004-0000-0200-000001000000}"/>
    <hyperlink ref="F34" r:id="rId3" xr:uid="{00000000-0004-0000-0200-000002000000}"/>
    <hyperlink ref="F35" r:id="rId4" xr:uid="{00000000-0004-0000-0200-000003000000}"/>
    <hyperlink ref="F172" r:id="rId5" xr:uid="{00000000-0004-0000-0200-000004000000}"/>
    <hyperlink ref="F173" r:id="rId6" xr:uid="{00000000-0004-0000-0200-000005000000}"/>
    <hyperlink ref="F40" r:id="rId7" location="topo" display="https://www.iacapap2024.com/ingles/programacao/index_track_cronologico.php - topo" xr:uid="{00000000-0004-0000-0200-000006000000}"/>
    <hyperlink ref="F41" r:id="rId8" xr:uid="{00000000-0004-0000-0200-000007000000}"/>
    <hyperlink ref="F42" r:id="rId9" xr:uid="{00000000-0004-0000-0200-000008000000}"/>
    <hyperlink ref="F43" r:id="rId10" xr:uid="{00000000-0004-0000-0200-000009000000}"/>
    <hyperlink ref="F44" r:id="rId11" xr:uid="{00000000-0004-0000-0200-00000A000000}"/>
    <hyperlink ref="F45" r:id="rId12" xr:uid="{00000000-0004-0000-0200-00000B000000}"/>
    <hyperlink ref="F46" r:id="rId13" xr:uid="{00000000-0004-0000-0200-00000C000000}"/>
    <hyperlink ref="F47" r:id="rId14" xr:uid="{00000000-0004-0000-0200-00000D000000}"/>
    <hyperlink ref="F48" r:id="rId15" xr:uid="{00000000-0004-0000-0200-00000E000000}"/>
    <hyperlink ref="F49" r:id="rId16" xr:uid="{00000000-0004-0000-0200-00000F000000}"/>
    <hyperlink ref="F50" r:id="rId17" xr:uid="{00000000-0004-0000-0200-000010000000}"/>
    <hyperlink ref="F51" r:id="rId18" xr:uid="{00000000-0004-0000-0200-000011000000}"/>
    <hyperlink ref="F52" r:id="rId19" xr:uid="{00000000-0004-0000-0200-000012000000}"/>
    <hyperlink ref="F54" r:id="rId20" xr:uid="{00000000-0004-0000-0200-000013000000}"/>
    <hyperlink ref="F53" r:id="rId21" xr:uid="{00000000-0004-0000-0200-000014000000}"/>
    <hyperlink ref="F55" r:id="rId22" xr:uid="{00000000-0004-0000-0200-000015000000}"/>
    <hyperlink ref="F61" r:id="rId23" xr:uid="{00000000-0004-0000-0200-000016000000}"/>
    <hyperlink ref="F62" r:id="rId24" xr:uid="{00000000-0004-0000-0200-000017000000}"/>
    <hyperlink ref="F63" r:id="rId25" display="https://cinp2024.org/wp-content/themes/CINP/file/CINP2024_Pocket Programs_v3.pdf" xr:uid="{00000000-0004-0000-0200-000018000000}"/>
    <hyperlink ref="F64" r:id="rId26" xr:uid="{00000000-0004-0000-0200-000019000000}"/>
    <hyperlink ref="F65" r:id="rId27" xr:uid="{00000000-0004-0000-0200-00001A000000}"/>
    <hyperlink ref="F66" r:id="rId28" xr:uid="{00000000-0004-0000-0200-00001B000000}"/>
    <hyperlink ref="F67" r:id="rId29" xr:uid="{00000000-0004-0000-0200-00001C000000}"/>
    <hyperlink ref="F68" r:id="rId30" xr:uid="{00000000-0004-0000-0200-00001D000000}"/>
    <hyperlink ref="F69" r:id="rId31" location="opening" display="https://icpweb.org/icp-annual-conference/icp2020-virtualonline/ - opening" xr:uid="{00000000-0004-0000-0200-00001E000000}"/>
    <hyperlink ref="F70" r:id="rId32" xr:uid="{00000000-0004-0000-0200-00001F000000}"/>
    <hyperlink ref="F71" r:id="rId33" xr:uid="{00000000-0004-0000-0200-000020000000}"/>
    <hyperlink ref="F72" r:id="rId34" xr:uid="{00000000-0004-0000-0200-000021000000}"/>
    <hyperlink ref="F73" r:id="rId35" xr:uid="{00000000-0004-0000-0200-000022000000}"/>
    <hyperlink ref="F74" r:id="rId36" xr:uid="{00000000-0004-0000-0200-000023000000}"/>
    <hyperlink ref="F76" r:id="rId37" xr:uid="{00000000-0004-0000-0200-000024000000}"/>
    <hyperlink ref="F75" r:id="rId38" xr:uid="{00000000-0004-0000-0200-000025000000}"/>
    <hyperlink ref="F78" r:id="rId39" xr:uid="{00000000-0004-0000-0200-000026000000}"/>
    <hyperlink ref="F77" r:id="rId40" display="https://the-ins.org/files/meetings/nola2022/program_book/NOLA 2022 Oxford Abstracts Program_Final.pdf" xr:uid="{00000000-0004-0000-0200-000027000000}"/>
    <hyperlink ref="F80" r:id="rId41" xr:uid="{00000000-0004-0000-0200-000028000000}"/>
    <hyperlink ref="F79" r:id="rId42" xr:uid="{00000000-0004-0000-0200-000029000000}"/>
    <hyperlink ref="F82" r:id="rId43" xr:uid="{00000000-0004-0000-0200-00002A000000}"/>
    <hyperlink ref="F81" r:id="rId44" xr:uid="{00000000-0004-0000-0200-00002B000000}"/>
    <hyperlink ref="F83" r:id="rId45" xr:uid="{00000000-0004-0000-0200-00002C000000}"/>
    <hyperlink ref="F87" r:id="rId46" xr:uid="{00000000-0004-0000-0200-00002D000000}"/>
    <hyperlink ref="F88" r:id="rId47" xr:uid="{00000000-0004-0000-0200-00002E000000}"/>
    <hyperlink ref="F94" r:id="rId48" xr:uid="{00000000-0004-0000-0200-00002F000000}"/>
    <hyperlink ref="F95" r:id="rId49" xr:uid="{00000000-0004-0000-0200-000030000000}"/>
    <hyperlink ref="F96" r:id="rId50" xr:uid="{00000000-0004-0000-0200-000031000000}"/>
    <hyperlink ref="F97" r:id="rId51" xr:uid="{00000000-0004-0000-0200-000032000000}"/>
    <hyperlink ref="F98" r:id="rId52" xr:uid="{00000000-0004-0000-0200-000033000000}"/>
    <hyperlink ref="F99" r:id="rId53" xr:uid="{00000000-0004-0000-0200-000034000000}"/>
    <hyperlink ref="F105" r:id="rId54" display="https://www.ispn-psych.org/assets/2024_Conference/2024 Final Program v8.pdf" xr:uid="{00000000-0004-0000-0200-000035000000}"/>
    <hyperlink ref="F106" r:id="rId55" display="https://www.ispn-psych.org/assets/2023_Conference/2023 Final Program v9.pdf" xr:uid="{00000000-0004-0000-0200-000036000000}"/>
    <hyperlink ref="F107" r:id="rId56" display="https://www.ispn-psych.org/assets/2022_Conference/ISPN_2022_Final Program_L.pdf" xr:uid="{00000000-0004-0000-0200-000037000000}"/>
    <hyperlink ref="F108" r:id="rId57" xr:uid="{00000000-0004-0000-0200-000038000000}"/>
    <hyperlink ref="F109" r:id="rId58" xr:uid="{00000000-0004-0000-0200-000039000000}"/>
    <hyperlink ref="F125" r:id="rId59" xr:uid="{00000000-0004-0000-0200-00003A000000}"/>
    <hyperlink ref="F126" r:id="rId60" xr:uid="{00000000-0004-0000-0200-00003B000000}"/>
    <hyperlink ref="F127" r:id="rId61" xr:uid="{00000000-0004-0000-0200-00003C000000}"/>
    <hyperlink ref="F128" r:id="rId62" xr:uid="{00000000-0004-0000-0200-00003D000000}"/>
    <hyperlink ref="F129" r:id="rId63" xr:uid="{00000000-0004-0000-0200-00003E000000}"/>
    <hyperlink ref="F130" r:id="rId64" xr:uid="{00000000-0004-0000-0200-00003F000000}"/>
    <hyperlink ref="F131" r:id="rId65" xr:uid="{00000000-0004-0000-0200-000040000000}"/>
    <hyperlink ref="F132" r:id="rId66" xr:uid="{00000000-0004-0000-0200-000041000000}"/>
    <hyperlink ref="F145" r:id="rId67" xr:uid="{00000000-0004-0000-0200-000042000000}"/>
    <hyperlink ref="F146" r:id="rId68" xr:uid="{00000000-0004-0000-0200-000043000000}"/>
    <hyperlink ref="F147" r:id="rId69" xr:uid="{00000000-0004-0000-0200-000044000000}"/>
    <hyperlink ref="F148" r:id="rId70" xr:uid="{00000000-0004-0000-0200-000045000000}"/>
    <hyperlink ref="F149" r:id="rId71" xr:uid="{00000000-0004-0000-0200-000046000000}"/>
    <hyperlink ref="F150" r:id="rId72" xr:uid="{00000000-0004-0000-0200-000047000000}"/>
    <hyperlink ref="F155" r:id="rId73" xr:uid="{00000000-0004-0000-0200-000048000000}"/>
    <hyperlink ref="F156" r:id="rId74" xr:uid="{00000000-0004-0000-0200-000049000000}"/>
    <hyperlink ref="F157" r:id="rId75" xr:uid="{00000000-0004-0000-0200-00004A000000}"/>
    <hyperlink ref="F158" r:id="rId76" xr:uid="{00000000-0004-0000-0200-00004B000000}"/>
    <hyperlink ref="F159" r:id="rId77" xr:uid="{00000000-0004-0000-0200-00004C000000}"/>
    <hyperlink ref="F84" r:id="rId78" xr:uid="{00000000-0004-0000-0200-00004D000000}"/>
    <hyperlink ref="F85" r:id="rId79" xr:uid="{00000000-0004-0000-0200-00004E000000}"/>
    <hyperlink ref="F86" r:id="rId80" xr:uid="{00000000-0004-0000-0200-00004F000000}"/>
    <hyperlink ref="F453" r:id="rId81" location="page/1" display="https://heyzine.com/flip-book/70b8901841.html - page/1" xr:uid="{00000000-0004-0000-0200-000050000000}"/>
    <hyperlink ref="F15" r:id="rId82" display="https://contextualscience.org/sites/default/files/2024-07/WC2024 Program - English - 7.10.pdf" xr:uid="{00000000-0004-0000-0200-000051000000}"/>
    <hyperlink ref="F16" r:id="rId83" display="https://contextualscience.org/sites/default/files/WC2023 Program_0.pdf" xr:uid="{00000000-0004-0000-0200-000052000000}"/>
    <hyperlink ref="F17" r:id="rId84" display="https://contextualscience.org/sites/default/files/In-Person Final Program 5.25_0.pdf" xr:uid="{00000000-0004-0000-0200-000053000000}"/>
    <hyperlink ref="F18" r:id="rId85" display="https://contextualscience.org/sites/default/files/Brief Schedule 6.9_0.pdf" xr:uid="{00000000-0004-0000-0200-000054000000}"/>
    <hyperlink ref="F19" r:id="rId86" display="https://contextualscience.org/sites/default/files/WC online Formatted Brief Schedule with networking.pdf" xr:uid="{00000000-0004-0000-0200-000055000000}"/>
    <hyperlink ref="F59" r:id="rId87" xr:uid="{00000000-0004-0000-0200-000056000000}"/>
    <hyperlink ref="F60" r:id="rId88" xr:uid="{00000000-0004-0000-0200-000057000000}"/>
    <hyperlink ref="F133" r:id="rId89" display="https://view.flipdocs.com/?ID=10026226_544111" xr:uid="{00000000-0004-0000-0200-000058000000}"/>
    <hyperlink ref="F134" r:id="rId90" xr:uid="{00000000-0004-0000-0200-000059000000}"/>
    <hyperlink ref="F135" r:id="rId91" xr:uid="{00000000-0004-0000-0200-00005A000000}"/>
    <hyperlink ref="F136" r:id="rId92" xr:uid="{00000000-0004-0000-0200-00005B000000}"/>
    <hyperlink ref="F12" r:id="rId93" xr:uid="{00000000-0004-0000-0200-00005C000000}"/>
    <hyperlink ref="F13" r:id="rId94" xr:uid="{00000000-0004-0000-0200-00005D000000}"/>
    <hyperlink ref="F14" r:id="rId95" xr:uid="{00000000-0004-0000-0200-00005E000000}"/>
    <hyperlink ref="F169" r:id="rId96" xr:uid="{00000000-0004-0000-0200-00005F000000}"/>
    <hyperlink ref="F170" r:id="rId97" xr:uid="{00000000-0004-0000-0200-000060000000}"/>
    <hyperlink ref="F171" r:id="rId98" xr:uid="{00000000-0004-0000-0200-000061000000}"/>
    <hyperlink ref="F174" r:id="rId99" xr:uid="{00000000-0004-0000-0200-000062000000}"/>
    <hyperlink ref="F175" r:id="rId100" xr:uid="{00000000-0004-0000-0200-000063000000}"/>
    <hyperlink ref="F176" r:id="rId101" xr:uid="{00000000-0004-0000-0200-000064000000}"/>
    <hyperlink ref="F177" r:id="rId102" xr:uid="{00000000-0004-0000-0200-000065000000}"/>
    <hyperlink ref="F178" r:id="rId103" location="!sessionschedule" display="https://www.ecnp.eu/congress2024/ECNPcongress/programme/programme - !sessionschedule" xr:uid="{00000000-0004-0000-0200-000066000000}"/>
    <hyperlink ref="F179" r:id="rId104" location="!sessionschedule" display="https://www.ecnp.eu/about-ecnp/history/past-ecnp-meetings/past-congresses/barcelona2023/programme - !sessionschedule" xr:uid="{00000000-0004-0000-0200-000067000000}"/>
    <hyperlink ref="F180" r:id="rId105" location="!sessionschedule" display="https://www.ecnp.eu/about-ecnp/history/past-ecnp-meetings/past-congresses/vienna2022/programme - !sessionschedule" xr:uid="{00000000-0004-0000-0200-000068000000}"/>
    <hyperlink ref="F181" r:id="rId106" location="!sessionschedule" display="https://www.ecnp.eu/about-ecnp/history/past-ecnp-meetings/past-congresses/lisbon2021/Programme - !sessionschedule" xr:uid="{00000000-0004-0000-0200-000069000000}"/>
    <hyperlink ref="F182" r:id="rId107" location="!sessionschedule" display="https://www.ecnp.eu/about-ecnp/history/past-ecnp-meetings/past-congresses/virtual-2020/Programme - !sessionschedule" xr:uid="{00000000-0004-0000-0200-00006A000000}"/>
    <hyperlink ref="F183" r:id="rId108" xr:uid="{00000000-0004-0000-0200-00006B000000}"/>
    <hyperlink ref="F184" r:id="rId109" xr:uid="{00000000-0004-0000-0200-00006C000000}"/>
    <hyperlink ref="F185" r:id="rId110" xr:uid="{00000000-0004-0000-0200-00006D000000}"/>
    <hyperlink ref="F191" r:id="rId111" xr:uid="{00000000-0004-0000-0200-00006E000000}"/>
    <hyperlink ref="F192" r:id="rId112" xr:uid="{00000000-0004-0000-0200-00006F000000}"/>
    <hyperlink ref="F193" r:id="rId113" xr:uid="{00000000-0004-0000-0200-000070000000}"/>
    <hyperlink ref="F194" r:id="rId114" xr:uid="{00000000-0004-0000-0200-000071000000}"/>
    <hyperlink ref="F195" r:id="rId115" xr:uid="{00000000-0004-0000-0200-000072000000}"/>
    <hyperlink ref="F196" r:id="rId116" xr:uid="{00000000-0004-0000-0200-000073000000}"/>
    <hyperlink ref="F197" r:id="rId117" xr:uid="{00000000-0004-0000-0200-000074000000}"/>
    <hyperlink ref="F198" r:id="rId118" xr:uid="{00000000-0004-0000-0200-000075000000}"/>
    <hyperlink ref="F199" r:id="rId119" xr:uid="{00000000-0004-0000-0200-000076000000}"/>
    <hyperlink ref="F200" r:id="rId120" xr:uid="{00000000-0004-0000-0200-000077000000}"/>
    <hyperlink ref="F201" r:id="rId121" xr:uid="{00000000-0004-0000-0200-000078000000}"/>
    <hyperlink ref="F202" r:id="rId122" xr:uid="{00000000-0004-0000-0200-000079000000}"/>
    <hyperlink ref="F203" r:id="rId123" xr:uid="{00000000-0004-0000-0200-00007A000000}"/>
    <hyperlink ref="F204" r:id="rId124" xr:uid="{00000000-0004-0000-0200-00007B000000}"/>
    <hyperlink ref="F205" r:id="rId125" location="/program/1/list" display="https://fens2024.abstractserver.com/program/ - /program/1/list" xr:uid="{00000000-0004-0000-0200-00007C000000}"/>
    <hyperlink ref="F206" r:id="rId126" xr:uid="{00000000-0004-0000-0200-00007D000000}"/>
    <hyperlink ref="F207" r:id="rId127" xr:uid="{00000000-0004-0000-0200-00007E000000}"/>
    <hyperlink ref="F208" r:id="rId128" xr:uid="{00000000-0004-0000-0200-00007F000000}"/>
    <hyperlink ref="F211" r:id="rId129" xr:uid="{00000000-0004-0000-0200-000080000000}"/>
    <hyperlink ref="F212" r:id="rId130" xr:uid="{00000000-0004-0000-0200-000081000000}"/>
    <hyperlink ref="F213" r:id="rId131" xr:uid="{00000000-0004-0000-0200-000082000000}"/>
    <hyperlink ref="F214" r:id="rId132" xr:uid="{00000000-0004-0000-0200-000083000000}"/>
    <hyperlink ref="F215" r:id="rId133" xr:uid="{00000000-0004-0000-0200-000084000000}"/>
    <hyperlink ref="F216" r:id="rId134" xr:uid="{00000000-0004-0000-0200-000085000000}"/>
    <hyperlink ref="F217" r:id="rId135" xr:uid="{00000000-0004-0000-0200-000086000000}"/>
    <hyperlink ref="F218" r:id="rId136" xr:uid="{00000000-0004-0000-0200-000087000000}"/>
    <hyperlink ref="F219" r:id="rId137" xr:uid="{00000000-0004-0000-0200-000088000000}"/>
    <hyperlink ref="F220" r:id="rId138" xr:uid="{00000000-0004-0000-0200-000089000000}"/>
    <hyperlink ref="F221" r:id="rId139" xr:uid="{00000000-0004-0000-0200-00008A000000}"/>
    <hyperlink ref="F222" r:id="rId140" xr:uid="{00000000-0004-0000-0200-00008B000000}"/>
    <hyperlink ref="F223" r:id="rId141" xr:uid="{00000000-0004-0000-0200-00008C000000}"/>
    <hyperlink ref="F239" r:id="rId142" xr:uid="{00000000-0004-0000-0200-00008D000000}"/>
    <hyperlink ref="F240" r:id="rId143" xr:uid="{00000000-0004-0000-0200-00008E000000}"/>
    <hyperlink ref="F241" r:id="rId144" xr:uid="{00000000-0004-0000-0200-00008F000000}"/>
    <hyperlink ref="F242" r:id="rId145" xr:uid="{00000000-0004-0000-0200-000090000000}"/>
    <hyperlink ref="F243" r:id="rId146" location="program" display="https://www.cpa-apc.org/cpa-virtual-conference-october-23-24-2020/ - program" xr:uid="{00000000-0004-0000-0200-000091000000}"/>
    <hyperlink ref="F244" r:id="rId147" display="https://cpa.ca/docs/File/Convention/2024/CPA 2024 Event - Convention Guide_WEB.pdf" xr:uid="{00000000-0004-0000-0200-000092000000}"/>
    <hyperlink ref="F245" r:id="rId148" display="https://cpa.ca/docs/File/Convention/2023/CPA Event Convention Guide 2023_FINAL.pdf" xr:uid="{00000000-0004-0000-0200-000093000000}"/>
    <hyperlink ref="F246" r:id="rId149" display="https://cpa.ca/docs/File/Convention/2022/CPA Convention Guide 2022_FINAL.pdf" xr:uid="{00000000-0004-0000-0200-000094000000}"/>
    <hyperlink ref="F247" r:id="rId150" display="https://cpa.ca/docs/File/Convention/2021/CPA 2021 Annual National Convention Prospectus.pdf" xr:uid="{00000000-0004-0000-0200-000095000000}"/>
    <hyperlink ref="F251" r:id="rId151" xr:uid="{00000000-0004-0000-0200-000096000000}"/>
    <hyperlink ref="F252" r:id="rId152" xr:uid="{00000000-0004-0000-0200-000097000000}"/>
    <hyperlink ref="F253" r:id="rId153" xr:uid="{00000000-0004-0000-0200-000098000000}"/>
    <hyperlink ref="F254" r:id="rId154" xr:uid="{00000000-0004-0000-0200-000099000000}"/>
    <hyperlink ref="F255" r:id="rId155" xr:uid="{00000000-0004-0000-0200-00009A000000}"/>
    <hyperlink ref="F256" r:id="rId156" xr:uid="{00000000-0004-0000-0200-00009B000000}"/>
    <hyperlink ref="F262" r:id="rId157" xr:uid="{00000000-0004-0000-0200-00009C000000}"/>
    <hyperlink ref="F263" r:id="rId158" xr:uid="{00000000-0004-0000-0200-00009D000000}"/>
    <hyperlink ref="F264" r:id="rId159" xr:uid="{00000000-0004-0000-0200-00009E000000}"/>
    <hyperlink ref="F265" r:id="rId160" xr:uid="{00000000-0004-0000-0200-00009F000000}"/>
    <hyperlink ref="F266" r:id="rId161" xr:uid="{00000000-0004-0000-0200-0000A0000000}"/>
    <hyperlink ref="F267" r:id="rId162" xr:uid="{00000000-0004-0000-0200-0000A1000000}"/>
    <hyperlink ref="F268" r:id="rId163" xr:uid="{00000000-0004-0000-0200-0000A2000000}"/>
    <hyperlink ref="F36" r:id="rId164" xr:uid="{00000000-0004-0000-0200-0000A3000000}"/>
    <hyperlink ref="F37" r:id="rId165" display="https://www.escap.eu/uploads/Events/Maastricht 2021/escap-2022-programme-accreditation-version.pdf" xr:uid="{00000000-0004-0000-0200-0000A4000000}"/>
    <hyperlink ref="F269" r:id="rId166" xr:uid="{00000000-0004-0000-0200-0000A5000000}"/>
    <hyperlink ref="F270" r:id="rId167" xr:uid="{00000000-0004-0000-0200-0000A6000000}"/>
    <hyperlink ref="F271" r:id="rId168" xr:uid="{00000000-0004-0000-0200-0000A7000000}"/>
    <hyperlink ref="F280" r:id="rId169" xr:uid="{00000000-0004-0000-0200-0000A8000000}"/>
    <hyperlink ref="F281" r:id="rId170" xr:uid="{00000000-0004-0000-0200-0000A9000000}"/>
    <hyperlink ref="F282" r:id="rId171" xr:uid="{00000000-0004-0000-0200-0000AA000000}"/>
    <hyperlink ref="F283" r:id="rId172" xr:uid="{00000000-0004-0000-0200-0000AB000000}"/>
    <hyperlink ref="F284" r:id="rId173" xr:uid="{00000000-0004-0000-0200-0000AC000000}"/>
    <hyperlink ref="F285" r:id="rId174" xr:uid="{00000000-0004-0000-0200-0000AD000000}"/>
    <hyperlink ref="F286" r:id="rId175" xr:uid="{00000000-0004-0000-0200-0000AE000000}"/>
    <hyperlink ref="F287" r:id="rId176" xr:uid="{00000000-0004-0000-0200-0000AF000000}"/>
    <hyperlink ref="F288" r:id="rId177" xr:uid="{00000000-0004-0000-0200-0000B0000000}"/>
    <hyperlink ref="F289" r:id="rId178" xr:uid="{00000000-0004-0000-0200-0000B1000000}"/>
    <hyperlink ref="F304" r:id="rId179" xr:uid="{00000000-0004-0000-0200-0000B2000000}"/>
    <hyperlink ref="F305" r:id="rId180" xr:uid="{00000000-0004-0000-0200-0000B3000000}"/>
    <hyperlink ref="F307" r:id="rId181" xr:uid="{00000000-0004-0000-0200-0000B4000000}"/>
    <hyperlink ref="F308" r:id="rId182" xr:uid="{00000000-0004-0000-0200-0000B5000000}"/>
    <hyperlink ref="F314" r:id="rId183" xr:uid="{00000000-0004-0000-0200-0000B6000000}"/>
    <hyperlink ref="F315" r:id="rId184" xr:uid="{00000000-0004-0000-0200-0000B7000000}"/>
    <hyperlink ref="F316" r:id="rId185" xr:uid="{00000000-0004-0000-0200-0000B8000000}"/>
    <hyperlink ref="F317" r:id="rId186" xr:uid="{00000000-0004-0000-0200-0000B9000000}"/>
    <hyperlink ref="F333" r:id="rId187" xr:uid="{00000000-0004-0000-0200-0000BA000000}"/>
    <hyperlink ref="F334" r:id="rId188" xr:uid="{00000000-0004-0000-0200-0000BB000000}"/>
    <hyperlink ref="F335" r:id="rId189" xr:uid="{00000000-0004-0000-0200-0000BC000000}"/>
    <hyperlink ref="F336" r:id="rId190" xr:uid="{00000000-0004-0000-0200-0000BD000000}"/>
    <hyperlink ref="F337" r:id="rId191" xr:uid="{00000000-0004-0000-0200-0000BE000000}"/>
    <hyperlink ref="F338" r:id="rId192" xr:uid="{00000000-0004-0000-0200-0000BF000000}"/>
    <hyperlink ref="F339" r:id="rId193" xr:uid="{00000000-0004-0000-0200-0000C0000000}"/>
    <hyperlink ref="F340" r:id="rId194" xr:uid="{00000000-0004-0000-0200-0000C1000000}"/>
    <hyperlink ref="F341" r:id="rId195" xr:uid="{00000000-0004-0000-0200-0000C2000000}"/>
    <hyperlink ref="F342" r:id="rId196" xr:uid="{00000000-0004-0000-0200-0000C3000000}"/>
    <hyperlink ref="F343" r:id="rId197" xr:uid="{00000000-0004-0000-0200-0000C4000000}"/>
    <hyperlink ref="F344" r:id="rId198" xr:uid="{00000000-0004-0000-0200-0000C5000000}"/>
    <hyperlink ref="F345" r:id="rId199" xr:uid="{00000000-0004-0000-0200-0000C6000000}"/>
    <hyperlink ref="F346" r:id="rId200" xr:uid="{00000000-0004-0000-0200-0000C7000000}"/>
    <hyperlink ref="F348" r:id="rId201" xr:uid="{00000000-0004-0000-0200-0000C8000000}"/>
    <hyperlink ref="F349" r:id="rId202" xr:uid="{00000000-0004-0000-0200-0000C9000000}"/>
    <hyperlink ref="F350" r:id="rId203" xr:uid="{00000000-0004-0000-0200-0000CA000000}"/>
    <hyperlink ref="F351" r:id="rId204" xr:uid="{00000000-0004-0000-0200-0000CB000000}"/>
    <hyperlink ref="F352" r:id="rId205" xr:uid="{00000000-0004-0000-0200-0000CC000000}"/>
    <hyperlink ref="F353" r:id="rId206" xr:uid="{00000000-0004-0000-0200-0000CD000000}"/>
    <hyperlink ref="F354" r:id="rId207" xr:uid="{00000000-0004-0000-0200-0000CE000000}"/>
    <hyperlink ref="F355" r:id="rId208" xr:uid="{00000000-0004-0000-0200-0000CF000000}"/>
    <hyperlink ref="F356" r:id="rId209" xr:uid="{00000000-0004-0000-0200-0000D0000000}"/>
    <hyperlink ref="F357" r:id="rId210" xr:uid="{00000000-0004-0000-0200-0000D1000000}"/>
    <hyperlink ref="F359" r:id="rId211" xr:uid="{00000000-0004-0000-0200-0000D2000000}"/>
    <hyperlink ref="F360" r:id="rId212" xr:uid="{00000000-0004-0000-0200-0000D3000000}"/>
    <hyperlink ref="F361" r:id="rId213" xr:uid="{00000000-0004-0000-0200-0000D4000000}"/>
    <hyperlink ref="F362" r:id="rId214" xr:uid="{00000000-0004-0000-0200-0000D5000000}"/>
    <hyperlink ref="F363" r:id="rId215" xr:uid="{00000000-0004-0000-0200-0000D6000000}"/>
    <hyperlink ref="F364" r:id="rId216" xr:uid="{00000000-0004-0000-0200-0000D7000000}"/>
    <hyperlink ref="F365" r:id="rId217" xr:uid="{00000000-0004-0000-0200-0000D8000000}"/>
    <hyperlink ref="F366" r:id="rId218" xr:uid="{00000000-0004-0000-0200-0000D9000000}"/>
    <hyperlink ref="F367" r:id="rId219" xr:uid="{00000000-0004-0000-0200-0000DA000000}"/>
    <hyperlink ref="F368" r:id="rId220" xr:uid="{00000000-0004-0000-0200-0000DB000000}"/>
    <hyperlink ref="F369" r:id="rId221" xr:uid="{00000000-0004-0000-0200-0000DC000000}"/>
    <hyperlink ref="F370" r:id="rId222" xr:uid="{00000000-0004-0000-0200-0000DD000000}"/>
    <hyperlink ref="F371" r:id="rId223" xr:uid="{00000000-0004-0000-0200-0000DE000000}"/>
    <hyperlink ref="F372" r:id="rId224" xr:uid="{00000000-0004-0000-0200-0000DF000000}"/>
    <hyperlink ref="F373" r:id="rId225" xr:uid="{00000000-0004-0000-0200-0000E0000000}"/>
    <hyperlink ref="F374" r:id="rId226" xr:uid="{00000000-0004-0000-0200-0000E1000000}"/>
    <hyperlink ref="F376" r:id="rId227" xr:uid="{00000000-0004-0000-0200-0000E2000000}"/>
    <hyperlink ref="F379" r:id="rId228" xr:uid="{00000000-0004-0000-0200-0000E3000000}"/>
    <hyperlink ref="F381" r:id="rId229" xr:uid="{00000000-0004-0000-0200-0000E4000000}"/>
    <hyperlink ref="F382" r:id="rId230" xr:uid="{00000000-0004-0000-0200-0000E5000000}"/>
    <hyperlink ref="F383" r:id="rId231" xr:uid="{00000000-0004-0000-0200-0000E6000000}"/>
    <hyperlink ref="F384" r:id="rId232" xr:uid="{00000000-0004-0000-0200-0000E7000000}"/>
    <hyperlink ref="F385" r:id="rId233" xr:uid="{00000000-0004-0000-0200-0000E8000000}"/>
    <hyperlink ref="F386" r:id="rId234" xr:uid="{00000000-0004-0000-0200-0000E9000000}"/>
    <hyperlink ref="F387" r:id="rId235" xr:uid="{00000000-0004-0000-0200-0000EA000000}"/>
    <hyperlink ref="F388" r:id="rId236" xr:uid="{00000000-0004-0000-0200-0000EB000000}"/>
    <hyperlink ref="F389" r:id="rId237" xr:uid="{00000000-0004-0000-0200-0000EC000000}"/>
    <hyperlink ref="F390" r:id="rId238" display="https://www.feap.es/images/feap/documentos/Formacion/SEPYPNA Programa Congreso 2023.pdf" xr:uid="{00000000-0004-0000-0200-0000ED000000}"/>
    <hyperlink ref="F391" r:id="rId239" xr:uid="{00000000-0004-0000-0200-0000EE000000}"/>
    <hyperlink ref="F392" r:id="rId240" xr:uid="{00000000-0004-0000-0200-0000EF000000}"/>
    <hyperlink ref="F393" r:id="rId241" xr:uid="{00000000-0004-0000-0200-0000F0000000}"/>
    <hyperlink ref="F142" r:id="rId242" xr:uid="{00000000-0004-0000-0200-0000F1000000}"/>
    <hyperlink ref="F143" r:id="rId243" xr:uid="{00000000-0004-0000-0200-0000F2000000}"/>
    <hyperlink ref="F144" r:id="rId244" xr:uid="{00000000-0004-0000-0200-0000F3000000}"/>
    <hyperlink ref="F401" r:id="rId245" location="programa" display="https://reunion.sen.es/index.php/ - programa" xr:uid="{00000000-0004-0000-0200-0000F4000000}"/>
    <hyperlink ref="F402" r:id="rId246" display="https://www.sen.es/attachments/article/3345/Programa- Jornada Pacientes RASEN23.pdf" xr:uid="{00000000-0004-0000-0200-0000F5000000}"/>
    <hyperlink ref="F403" r:id="rId247" xr:uid="{00000000-0004-0000-0200-0000F6000000}"/>
    <hyperlink ref="F404" r:id="rId248" xr:uid="{00000000-0004-0000-0200-0000F7000000}"/>
    <hyperlink ref="F405" r:id="rId249" xr:uid="{00000000-0004-0000-0200-0000F8000000}"/>
    <hyperlink ref="F406" r:id="rId250" xr:uid="{00000000-0004-0000-0200-0000F9000000}"/>
    <hyperlink ref="F407" r:id="rId251" xr:uid="{00000000-0004-0000-0200-0000FA000000}"/>
    <hyperlink ref="F408" r:id="rId252" xr:uid="{00000000-0004-0000-0200-0000FB000000}"/>
    <hyperlink ref="F409" r:id="rId253" xr:uid="{00000000-0004-0000-0200-0000FC000000}"/>
    <hyperlink ref="F410" r:id="rId254" xr:uid="{00000000-0004-0000-0200-0000FD000000}"/>
    <hyperlink ref="F411" r:id="rId255" xr:uid="{00000000-0004-0000-0200-0000FE000000}"/>
    <hyperlink ref="F419" r:id="rId256" xr:uid="{00000000-0004-0000-0200-0000FF000000}"/>
    <hyperlink ref="F420" r:id="rId257" xr:uid="{00000000-0004-0000-0200-000000010000}"/>
    <hyperlink ref="F421" r:id="rId258" xr:uid="{00000000-0004-0000-0200-000001010000}"/>
    <hyperlink ref="F422" r:id="rId259" xr:uid="{00000000-0004-0000-0200-000002010000}"/>
    <hyperlink ref="F432" r:id="rId260" xr:uid="{00000000-0004-0000-0200-000003010000}"/>
    <hyperlink ref="F433" r:id="rId261" xr:uid="{00000000-0004-0000-0200-000004010000}"/>
    <hyperlink ref="F434" r:id="rId262" xr:uid="{00000000-0004-0000-0200-000005010000}"/>
    <hyperlink ref="F435" r:id="rId263" xr:uid="{00000000-0004-0000-0200-000006010000}"/>
    <hyperlink ref="F436" r:id="rId264" xr:uid="{00000000-0004-0000-0200-000007010000}"/>
    <hyperlink ref="F24" r:id="rId265" xr:uid="{00000000-0004-0000-0200-000008010000}"/>
    <hyperlink ref="F25" r:id="rId266" xr:uid="{00000000-0004-0000-0200-000009010000}"/>
    <hyperlink ref="F120" r:id="rId267" xr:uid="{00000000-0004-0000-0200-00000A010000}"/>
    <hyperlink ref="F121" r:id="rId268" xr:uid="{00000000-0004-0000-0200-00000B010000}"/>
    <hyperlink ref="F122" r:id="rId269" xr:uid="{00000000-0004-0000-0200-00000C010000}"/>
    <hyperlink ref="F123" r:id="rId270" xr:uid="{00000000-0004-0000-0200-00000D010000}"/>
    <hyperlink ref="F124" r:id="rId271" xr:uid="{00000000-0004-0000-0200-00000E010000}"/>
    <hyperlink ref="F442" r:id="rId272" xr:uid="{00000000-0004-0000-0200-00000F010000}"/>
    <hyperlink ref="F443" r:id="rId273" xr:uid="{00000000-0004-0000-0200-000010010000}"/>
    <hyperlink ref="F444" r:id="rId274" xr:uid="{00000000-0004-0000-0200-000011010000}"/>
    <hyperlink ref="F445" r:id="rId275" xr:uid="{00000000-0004-0000-0200-000012010000}"/>
    <hyperlink ref="F446" r:id="rId276" xr:uid="{00000000-0004-0000-0200-000013010000}"/>
    <hyperlink ref="F447" r:id="rId277" xr:uid="{00000000-0004-0000-0200-000014010000}"/>
    <hyperlink ref="F448" r:id="rId278" xr:uid="{00000000-0004-0000-0200-000015010000}"/>
    <hyperlink ref="F449" r:id="rId279" xr:uid="{00000000-0004-0000-0200-000016010000}"/>
    <hyperlink ref="F450" r:id="rId280" xr:uid="{00000000-0004-0000-0200-000017010000}"/>
    <hyperlink ref="F451" r:id="rId281" xr:uid="{00000000-0004-0000-0200-000018010000}"/>
    <hyperlink ref="F452" r:id="rId282" xr:uid="{00000000-0004-0000-0200-000019010000}"/>
    <hyperlink ref="F454" r:id="rId283" xr:uid="{00000000-0004-0000-0200-00001A010000}"/>
    <hyperlink ref="F455" r:id="rId284" xr:uid="{00000000-0004-0000-0200-00001B010000}"/>
    <hyperlink ref="F456" r:id="rId285" xr:uid="{00000000-0004-0000-0200-00001C010000}"/>
    <hyperlink ref="F457" r:id="rId286" xr:uid="{00000000-0004-0000-0200-00001D010000}"/>
    <hyperlink ref="F458" r:id="rId287" xr:uid="{00000000-0004-0000-0200-00001E010000}"/>
    <hyperlink ref="F459" r:id="rId288" xr:uid="{00000000-0004-0000-0200-00001F010000}"/>
    <hyperlink ref="F460" r:id="rId289" xr:uid="{00000000-0004-0000-0200-000020010000}"/>
    <hyperlink ref="F461" r:id="rId290" xr:uid="{00000000-0004-0000-0200-000021010000}"/>
    <hyperlink ref="F462" r:id="rId291" xr:uid="{00000000-0004-0000-0200-000022010000}"/>
    <hyperlink ref="F463" r:id="rId292" xr:uid="{00000000-0004-0000-0200-000023010000}"/>
    <hyperlink ref="F464" r:id="rId293" xr:uid="{00000000-0004-0000-0200-000024010000}"/>
    <hyperlink ref="F465" r:id="rId294" xr:uid="{00000000-0004-0000-0200-000025010000}"/>
    <hyperlink ref="F466" r:id="rId295" xr:uid="{00000000-0004-0000-0200-000026010000}"/>
    <hyperlink ref="F467" r:id="rId296" location="sessions/conf10034" display="https://acnp.societyconference.com/conf/ - sessions/conf10034" xr:uid="{00000000-0004-0000-0200-000027010000}"/>
    <hyperlink ref="F468" r:id="rId297" location="sessions/conf10033" display="https://acnp.societyconference.com/conf/ - sessions/conf10033" xr:uid="{00000000-0004-0000-0200-000028010000}"/>
    <hyperlink ref="F469" r:id="rId298" xr:uid="{00000000-0004-0000-0200-000029010000}"/>
    <hyperlink ref="F470" r:id="rId299" location="sessions/conf10031" display="https://acnp.societyconference.com/conf/ - sessions/conf10031" xr:uid="{00000000-0004-0000-0200-00002A010000}"/>
    <hyperlink ref="F471" r:id="rId300" location="sessions/conf10030" display="https://acnp.societyconference.com/conf/ - sessions/conf10030" xr:uid="{00000000-0004-0000-0200-00002B010000}"/>
    <hyperlink ref="F476" r:id="rId301" xr:uid="{00000000-0004-0000-0200-00002C010000}"/>
    <hyperlink ref="F477" r:id="rId302" xr:uid="{00000000-0004-0000-0200-00002D010000}"/>
    <hyperlink ref="F478" r:id="rId303" location=":~:text=It%20is%20composed%20of%20three,for%20Monday%2C%20February%2028)." display="https://www.agpa.org/home/continuing-ed-meetings-events-training/agpa-connect-2022 - :~:text=It%20is%20composed%20of%20three,for%20Monday%2C%20February%2028)." xr:uid="{00000000-0004-0000-0200-00002E010000}"/>
    <hyperlink ref="F479" r:id="rId304" xr:uid="{00000000-0004-0000-0200-00002F010000}"/>
    <hyperlink ref="F480" r:id="rId305" xr:uid="{00000000-0004-0000-0200-000030010000}"/>
    <hyperlink ref="F481" r:id="rId306" xr:uid="{00000000-0004-0000-0200-000031010000}"/>
    <hyperlink ref="F482" r:id="rId307" xr:uid="{00000000-0004-0000-0200-000032010000}"/>
    <hyperlink ref="F483" r:id="rId308" location=":~:text=Join%20us%20for%20the%202022,2022%20Live%20in%20Las%20Vegas!" display="https://www.amhca.org/events/eventdescription?CalendarEventKey=16ab2f4e-4bcf-4fbd-8b7f-c46075372577&amp;Home=%2Fevents%2Fupcomingevents - :~:text=Join%20us%20for%20the%202022,2022%20Live%20in%20Las%20Vegas!" xr:uid="{00000000-0004-0000-0200-000033010000}"/>
    <hyperlink ref="F484" r:id="rId309" xr:uid="{00000000-0004-0000-0200-000034010000}"/>
    <hyperlink ref="F485" r:id="rId310" xr:uid="{00000000-0004-0000-0200-000035010000}"/>
    <hyperlink ref="F486" r:id="rId311" xr:uid="{00000000-0004-0000-0200-000036010000}"/>
    <hyperlink ref="F487" r:id="rId312" xr:uid="{00000000-0004-0000-0200-000037010000}"/>
    <hyperlink ref="F488" r:id="rId313" display="https://myana.org/sites/ana/files/images/2022 Final Program.pdf" xr:uid="{00000000-0004-0000-0200-000038010000}"/>
    <hyperlink ref="F489" r:id="rId314" display="https://myana.org/sites/ana/files/images/2021 Final Program.pdf" xr:uid="{00000000-0004-0000-0200-000039010000}"/>
    <hyperlink ref="F490" r:id="rId315" display="https://myana.org/sites/ana/files/images/2020 Final Program.pdf" xr:uid="{00000000-0004-0000-0200-00003A010000}"/>
    <hyperlink ref="F491" r:id="rId316" xr:uid="{00000000-0004-0000-0200-00003B010000}"/>
    <hyperlink ref="F492" r:id="rId317" xr:uid="{00000000-0004-0000-0200-00003C010000}"/>
    <hyperlink ref="F493" r:id="rId318" xr:uid="{00000000-0004-0000-0200-00003D010000}"/>
    <hyperlink ref="F494" r:id="rId319" xr:uid="{00000000-0004-0000-0200-00003E010000}"/>
    <hyperlink ref="F495" r:id="rId320" xr:uid="{00000000-0004-0000-0200-00003F010000}"/>
    <hyperlink ref="F496" r:id="rId321" xr:uid="{00000000-0004-0000-0200-000040010000}"/>
    <hyperlink ref="F497" r:id="rId322" xr:uid="{00000000-0004-0000-0200-000041010000}"/>
    <hyperlink ref="F498" r:id="rId323" display="https://www.psychiatry.org/File Library/Psychiatrists/Meetings/Annual-Meeting/2022/2022-APA-Exhibitor-Prospectus.pdf" xr:uid="{00000000-0004-0000-0200-000042010000}"/>
    <hyperlink ref="F499" r:id="rId324" display="https://www.psychiatry.org/File Library/Psychiatrists/Meetings/Annual-Meeting/2021/2021-APA-Annual-Meeting-Syllabus-and-Proceedings.pdf" xr:uid="{00000000-0004-0000-0200-000043010000}"/>
    <hyperlink ref="F500" r:id="rId325" xr:uid="{00000000-0004-0000-0200-000044010000}"/>
    <hyperlink ref="F501" r:id="rId326" xr:uid="{00000000-0004-0000-0200-000045010000}"/>
    <hyperlink ref="F502" r:id="rId327" xr:uid="{00000000-0004-0000-0200-000046010000}"/>
    <hyperlink ref="F503" r:id="rId328" xr:uid="{00000000-0004-0000-0200-000047010000}"/>
    <hyperlink ref="F504" r:id="rId329" xr:uid="{00000000-0004-0000-0200-000048010000}"/>
    <hyperlink ref="F505" r:id="rId330" xr:uid="{00000000-0004-0000-0200-000049010000}"/>
    <hyperlink ref="F507" r:id="rId331" xr:uid="{00000000-0004-0000-0200-00004A010000}"/>
    <hyperlink ref="F506" r:id="rId332" xr:uid="{00000000-0004-0000-0200-00004B010000}"/>
    <hyperlink ref="F509" r:id="rId333" xr:uid="{00000000-0004-0000-0200-00004C010000}"/>
    <hyperlink ref="F508" r:id="rId334" xr:uid="{00000000-0004-0000-0200-00004D010000}"/>
    <hyperlink ref="F511" r:id="rId335" xr:uid="{00000000-0004-0000-0200-00004E010000}"/>
    <hyperlink ref="F510" r:id="rId336" xr:uid="{00000000-0004-0000-0200-00004F010000}"/>
    <hyperlink ref="F513" r:id="rId337" xr:uid="{00000000-0004-0000-0200-000050010000}"/>
    <hyperlink ref="F512" r:id="rId338" xr:uid="{00000000-0004-0000-0200-000051010000}"/>
    <hyperlink ref="F515" r:id="rId339" xr:uid="{00000000-0004-0000-0200-000052010000}"/>
    <hyperlink ref="F514" r:id="rId340" xr:uid="{00000000-0004-0000-0200-000053010000}"/>
    <hyperlink ref="F516" r:id="rId341" xr:uid="{00000000-0004-0000-0200-000054010000}"/>
    <hyperlink ref="F517" r:id="rId342" display="https://irp.cdn-website.com/a5ea5d51/files/uploaded/APA 2023 Program-0ead88d8.pdf" xr:uid="{00000000-0004-0000-0200-000055010000}"/>
    <hyperlink ref="F518" r:id="rId343" xr:uid="{00000000-0004-0000-0200-000056010000}"/>
    <hyperlink ref="F519" r:id="rId344" xr:uid="{00000000-0004-0000-0200-000057010000}"/>
    <hyperlink ref="F520" r:id="rId345" xr:uid="{00000000-0004-0000-0200-000058010000}"/>
    <hyperlink ref="F521" r:id="rId346" xr:uid="{00000000-0004-0000-0200-000059010000}"/>
    <hyperlink ref="F522" r:id="rId347" xr:uid="{00000000-0004-0000-0200-00005A010000}"/>
    <hyperlink ref="F523" r:id="rId348" xr:uid="{00000000-0004-0000-0200-00005B010000}"/>
    <hyperlink ref="F524" r:id="rId349" xr:uid="{00000000-0004-0000-0200-00005C010000}"/>
    <hyperlink ref="F525" r:id="rId350" xr:uid="{00000000-0004-0000-0200-00005D010000}"/>
    <hyperlink ref="F526" r:id="rId351" xr:uid="{00000000-0004-0000-0200-00005E010000}"/>
    <hyperlink ref="F527" r:id="rId352" xr:uid="{00000000-0004-0000-0200-00005F010000}"/>
    <hyperlink ref="F528" r:id="rId353" xr:uid="{00000000-0004-0000-0200-000060010000}"/>
    <hyperlink ref="F529" r:id="rId354" xr:uid="{00000000-0004-0000-0200-000061010000}"/>
    <hyperlink ref="F20" r:id="rId355" xr:uid="{00000000-0004-0000-0200-000062010000}"/>
    <hyperlink ref="F21" r:id="rId356" xr:uid="{00000000-0004-0000-0200-000063010000}"/>
    <hyperlink ref="F22" r:id="rId357" xr:uid="{00000000-0004-0000-0200-000064010000}"/>
    <hyperlink ref="F23" r:id="rId358" xr:uid="{00000000-0004-0000-0200-000065010000}"/>
    <hyperlink ref="F38" r:id="rId359" xr:uid="{00000000-0004-0000-0200-000066010000}"/>
    <hyperlink ref="F39" r:id="rId360" xr:uid="{00000000-0004-0000-0200-000067010000}"/>
    <hyperlink ref="F100" r:id="rId361" xr:uid="{00000000-0004-0000-0200-000068010000}"/>
    <hyperlink ref="F101" r:id="rId362" xr:uid="{00000000-0004-0000-0200-000069010000}"/>
    <hyperlink ref="F102" r:id="rId363" xr:uid="{00000000-0004-0000-0200-00006A010000}"/>
    <hyperlink ref="F103" r:id="rId364" xr:uid="{00000000-0004-0000-0200-00006B010000}"/>
    <hyperlink ref="F104" r:id="rId365" xr:uid="{00000000-0004-0000-0200-00006C010000}"/>
    <hyperlink ref="F540" r:id="rId366" xr:uid="{00000000-0004-0000-0200-00006D010000}"/>
    <hyperlink ref="F541" r:id="rId367" xr:uid="{00000000-0004-0000-0200-00006E010000}"/>
    <hyperlink ref="F542" r:id="rId368" xr:uid="{00000000-0004-0000-0200-00006F010000}"/>
    <hyperlink ref="F543" r:id="rId369" xr:uid="{00000000-0004-0000-0200-000070010000}"/>
    <hyperlink ref="F544" r:id="rId370" display="https://mhanational.org/sites/default/files/2020 MHA Conference Sponsor and Promotional Opportunities 3.18.20.pdf" xr:uid="{00000000-0004-0000-0200-000071010000}"/>
    <hyperlink ref="F545" r:id="rId371" xr:uid="{00000000-0004-0000-0200-000072010000}"/>
    <hyperlink ref="F546" r:id="rId372" xr:uid="{00000000-0004-0000-0200-000073010000}"/>
    <hyperlink ref="F547" r:id="rId373" xr:uid="{00000000-0004-0000-0200-000074010000}"/>
    <hyperlink ref="F548" r:id="rId374" xr:uid="{00000000-0004-0000-0200-000075010000}"/>
    <hyperlink ref="F549" r:id="rId375" xr:uid="{00000000-0004-0000-0200-000076010000}"/>
    <hyperlink ref="F550" r:id="rId376" xr:uid="{00000000-0004-0000-0200-000077010000}"/>
    <hyperlink ref="F551" r:id="rId377" xr:uid="{00000000-0004-0000-0200-000078010000}"/>
    <hyperlink ref="F552" r:id="rId378" xr:uid="{00000000-0004-0000-0200-000079010000}"/>
    <hyperlink ref="F553" r:id="rId379" xr:uid="{00000000-0004-0000-0200-00007A010000}"/>
    <hyperlink ref="F554" r:id="rId380" xr:uid="{00000000-0004-0000-0200-00007B010000}"/>
    <hyperlink ref="F555" r:id="rId381" xr:uid="{00000000-0004-0000-0200-00007C010000}"/>
    <hyperlink ref="F556" r:id="rId382" xr:uid="{00000000-0004-0000-0200-00007D010000}"/>
    <hyperlink ref="F557" r:id="rId383" xr:uid="{00000000-0004-0000-0200-00007E010000}"/>
    <hyperlink ref="F558" r:id="rId384" xr:uid="{00000000-0004-0000-0200-00007F010000}"/>
    <hyperlink ref="F559" r:id="rId385" xr:uid="{00000000-0004-0000-0200-000080010000}"/>
    <hyperlink ref="F560" r:id="rId386" xr:uid="{00000000-0004-0000-0200-000081010000}"/>
    <hyperlink ref="F561" r:id="rId387" xr:uid="{00000000-0004-0000-0200-000082010000}"/>
    <hyperlink ref="F138" r:id="rId388" xr:uid="{00000000-0004-0000-0200-000083010000}"/>
    <hyperlink ref="F209" r:id="rId389" xr:uid="{00000000-0004-0000-0200-000084010000}"/>
    <hyperlink ref="F562" r:id="rId390" xr:uid="{00000000-0004-0000-0200-000085010000}"/>
    <hyperlink ref="F139" r:id="rId391" xr:uid="{00000000-0004-0000-0200-000086010000}"/>
    <hyperlink ref="F563" r:id="rId392" xr:uid="{00000000-0004-0000-0200-000087010000}"/>
    <hyperlink ref="F140" r:id="rId393" xr:uid="{00000000-0004-0000-0200-000088010000}"/>
    <hyperlink ref="F210" r:id="rId394" xr:uid="{00000000-0004-0000-0200-000089010000}"/>
    <hyperlink ref="F564" r:id="rId395" xr:uid="{00000000-0004-0000-0200-00008A010000}"/>
    <hyperlink ref="F141" r:id="rId396" xr:uid="{00000000-0004-0000-0200-00008B010000}"/>
    <hyperlink ref="F565" r:id="rId397" xr:uid="{00000000-0004-0000-0200-00008C010000}"/>
    <hyperlink ref="F571" r:id="rId398" xr:uid="{00000000-0004-0000-0200-00008D010000}"/>
    <hyperlink ref="F572" r:id="rId399" xr:uid="{00000000-0004-0000-0200-00008E010000}"/>
    <hyperlink ref="F573" r:id="rId400" xr:uid="{00000000-0004-0000-0200-00008F010000}"/>
    <hyperlink ref="F574" r:id="rId401" xr:uid="{00000000-0004-0000-0200-000090010000}"/>
    <hyperlink ref="F575" r:id="rId402" xr:uid="{00000000-0004-0000-0200-000091010000}"/>
    <hyperlink ref="F90" r:id="rId403" xr:uid="{00000000-0004-0000-0200-000092010000}"/>
    <hyperlink ref="F89" r:id="rId404" xr:uid="{00000000-0004-0000-0200-000093010000}"/>
    <hyperlink ref="F91" r:id="rId405" xr:uid="{00000000-0004-0000-0200-000094010000}"/>
    <hyperlink ref="F92" r:id="rId406" xr:uid="{00000000-0004-0000-0200-000095010000}"/>
    <hyperlink ref="F93" r:id="rId407" xr:uid="{00000000-0004-0000-0200-000096010000}"/>
    <hyperlink ref="F26" r:id="rId408" xr:uid="{00000000-0004-0000-0200-000097010000}"/>
    <hyperlink ref="F27" r:id="rId409" xr:uid="{00000000-0004-0000-0200-000098010000}"/>
    <hyperlink ref="F28" r:id="rId410" xr:uid="{00000000-0004-0000-0200-000099010000}"/>
    <hyperlink ref="F29" r:id="rId411" xr:uid="{00000000-0004-0000-0200-00009A010000}"/>
    <hyperlink ref="F30" r:id="rId412" xr:uid="{00000000-0004-0000-0200-00009B010000}"/>
    <hyperlink ref="F186" r:id="rId413" xr:uid="{00000000-0004-0000-0200-00009C010000}"/>
    <hyperlink ref="F187" r:id="rId414" xr:uid="{00000000-0004-0000-0200-00009D010000}"/>
    <hyperlink ref="F188" r:id="rId415" xr:uid="{00000000-0004-0000-0200-00009E010000}"/>
    <hyperlink ref="F189" r:id="rId416" xr:uid="{00000000-0004-0000-0200-00009F010000}"/>
    <hyperlink ref="F190" r:id="rId417" xr:uid="{00000000-0004-0000-0200-0000A0010000}"/>
    <hyperlink ref="F10" r:id="rId418" xr:uid="{00000000-0004-0000-0200-0000A1010000}"/>
    <hyperlink ref="F11" r:id="rId419" xr:uid="{00000000-0004-0000-0200-0000A2010000}"/>
    <hyperlink ref="F5" r:id="rId420" xr:uid="{00000000-0004-0000-0200-0000A3010000}"/>
    <hyperlink ref="F6" r:id="rId421" xr:uid="{00000000-0004-0000-0200-0000A4010000}"/>
    <hyperlink ref="F7" r:id="rId422" xr:uid="{00000000-0004-0000-0200-0000A5010000}"/>
    <hyperlink ref="F8" r:id="rId423" xr:uid="{00000000-0004-0000-0200-0000A6010000}"/>
    <hyperlink ref="F9" r:id="rId424" xr:uid="{00000000-0004-0000-0200-0000A7010000}"/>
    <hyperlink ref="F162" r:id="rId425" xr:uid="{00000000-0004-0000-0200-0000A8010000}"/>
    <hyperlink ref="F163" r:id="rId426" xr:uid="{00000000-0004-0000-0200-0000A9010000}"/>
    <hyperlink ref="F164" r:id="rId427" xr:uid="{00000000-0004-0000-0200-0000AA010000}"/>
    <hyperlink ref="F165" r:id="rId428" xr:uid="{00000000-0004-0000-0200-0000AB010000}"/>
    <hyperlink ref="F166" r:id="rId429" xr:uid="{00000000-0004-0000-0200-0000AC010000}"/>
    <hyperlink ref="F415" r:id="rId430" xr:uid="{00000000-0004-0000-0200-0000AD010000}"/>
    <hyperlink ref="F416" r:id="rId431" xr:uid="{00000000-0004-0000-0200-0000AE010000}"/>
    <hyperlink ref="F417" r:id="rId432" xr:uid="{00000000-0004-0000-0200-0000AF010000}"/>
    <hyperlink ref="F418" r:id="rId433" xr:uid="{00000000-0004-0000-0200-0000B0010000}"/>
    <hyperlink ref="F56" r:id="rId434" xr:uid="{00000000-0004-0000-0200-0000B1010000}"/>
    <hyperlink ref="F224" r:id="rId435" xr:uid="{00000000-0004-0000-0200-0000B2010000}"/>
    <hyperlink ref="F225" r:id="rId436" xr:uid="{00000000-0004-0000-0200-0000B3010000}"/>
    <hyperlink ref="F226" r:id="rId437" xr:uid="{00000000-0004-0000-0200-0000B4010000}"/>
    <hyperlink ref="F227" r:id="rId438" xr:uid="{00000000-0004-0000-0200-0000B5010000}"/>
    <hyperlink ref="F228" r:id="rId439" xr:uid="{00000000-0004-0000-0200-0000B6010000}"/>
    <hyperlink ref="F328" r:id="rId440" xr:uid="{00000000-0004-0000-0200-0000B7010000}"/>
    <hyperlink ref="F329" r:id="rId441" xr:uid="{00000000-0004-0000-0200-0000B8010000}"/>
    <hyperlink ref="F330" r:id="rId442" xr:uid="{00000000-0004-0000-0200-0000B9010000}"/>
    <hyperlink ref="F331" r:id="rId443" xr:uid="{00000000-0004-0000-0200-0000BA010000}"/>
    <hyperlink ref="F332" r:id="rId444" xr:uid="{00000000-0004-0000-0200-0000BB010000}"/>
    <hyperlink ref="F323" r:id="rId445" xr:uid="{00000000-0004-0000-0200-0000BC010000}"/>
    <hyperlink ref="F324" r:id="rId446" location="link02" xr:uid="{00000000-0004-0000-0200-0000BD010000}"/>
    <hyperlink ref="F325" r:id="rId447" xr:uid="{00000000-0004-0000-0200-0000BE010000}"/>
    <hyperlink ref="F326" r:id="rId448" xr:uid="{00000000-0004-0000-0200-0000BF010000}"/>
    <hyperlink ref="F327" r:id="rId449" xr:uid="{00000000-0004-0000-0200-0000C0010000}"/>
    <hyperlink ref="F437" r:id="rId450" xr:uid="{00000000-0004-0000-0200-0000C1010000}"/>
    <hyperlink ref="F438" r:id="rId451" xr:uid="{00000000-0004-0000-0200-0000C2010000}"/>
    <hyperlink ref="F439" r:id="rId452" xr:uid="{00000000-0004-0000-0200-0000C3010000}"/>
    <hyperlink ref="F440" r:id="rId453" xr:uid="{00000000-0004-0000-0200-0000C4010000}"/>
    <hyperlink ref="F441" r:id="rId454" xr:uid="{00000000-0004-0000-0200-0000C5010000}"/>
    <hyperlink ref="F424" r:id="rId455" xr:uid="{00000000-0004-0000-0200-0000C6010000}"/>
    <hyperlink ref="F426" r:id="rId456" xr:uid="{00000000-0004-0000-0200-0000C7010000}"/>
    <hyperlink ref="F428" r:id="rId457" xr:uid="{00000000-0004-0000-0200-0000C8010000}"/>
    <hyperlink ref="F431" r:id="rId458" xr:uid="{00000000-0004-0000-0200-0000C9010000}"/>
    <hyperlink ref="F423" r:id="rId459" xr:uid="{00000000-0004-0000-0200-0000CA010000}"/>
    <hyperlink ref="F425" r:id="rId460" xr:uid="{00000000-0004-0000-0200-0000CB010000}"/>
    <hyperlink ref="F427" r:id="rId461" xr:uid="{00000000-0004-0000-0200-0000CC010000}"/>
    <hyperlink ref="F429" r:id="rId462" xr:uid="{00000000-0004-0000-0200-0000CD010000}"/>
    <hyperlink ref="F237" r:id="rId463" xr:uid="{00000000-0004-0000-0200-0000CE010000}"/>
    <hyperlink ref="F257" r:id="rId464" xr:uid="{00000000-0004-0000-0200-0000CF010000}"/>
    <hyperlink ref="F258" r:id="rId465" xr:uid="{00000000-0004-0000-0200-0000D0010000}"/>
    <hyperlink ref="F259" r:id="rId466" xr:uid="{00000000-0004-0000-0200-0000D1010000}"/>
    <hyperlink ref="F260" r:id="rId467" xr:uid="{00000000-0004-0000-0200-0000D2010000}"/>
    <hyperlink ref="F261" r:id="rId468" xr:uid="{00000000-0004-0000-0200-0000D3010000}"/>
    <hyperlink ref="F248" r:id="rId469" xr:uid="{00000000-0004-0000-0200-0000D4010000}"/>
    <hyperlink ref="F249" r:id="rId470" xr:uid="{00000000-0004-0000-0200-0000D5010000}"/>
    <hyperlink ref="F250" r:id="rId471" xr:uid="{00000000-0004-0000-0200-0000D6010000}"/>
    <hyperlink ref="F273" r:id="rId472" xr:uid="{00000000-0004-0000-0200-0000D7010000}"/>
    <hyperlink ref="F272" r:id="rId473" xr:uid="{00000000-0004-0000-0200-0000D8010000}"/>
    <hyperlink ref="F274" r:id="rId474" xr:uid="{00000000-0004-0000-0200-0000D9010000}"/>
    <hyperlink ref="F276" r:id="rId475" xr:uid="{00000000-0004-0000-0200-0000DA010000}"/>
    <hyperlink ref="F290" r:id="rId476" xr:uid="{00000000-0004-0000-0200-0000DB010000}"/>
    <hyperlink ref="F293" r:id="rId477" xr:uid="{00000000-0004-0000-0200-0000DC010000}"/>
    <hyperlink ref="F296" r:id="rId478" xr:uid="{00000000-0004-0000-0200-0000DD010000}"/>
    <hyperlink ref="F299" r:id="rId479" xr:uid="{00000000-0004-0000-0200-0000DE010000}"/>
    <hyperlink ref="F302" r:id="rId480" xr:uid="{00000000-0004-0000-0200-0000DF010000}"/>
    <hyperlink ref="F291" r:id="rId481" xr:uid="{00000000-0004-0000-0200-0000E0010000}"/>
    <hyperlink ref="F294" r:id="rId482" xr:uid="{00000000-0004-0000-0200-0000E1010000}"/>
    <hyperlink ref="F297" r:id="rId483" xr:uid="{00000000-0004-0000-0200-0000E2010000}"/>
    <hyperlink ref="F300" r:id="rId484" xr:uid="{00000000-0004-0000-0200-0000E3010000}"/>
    <hyperlink ref="F303" r:id="rId485" xr:uid="{00000000-0004-0000-0200-0000E4010000}"/>
    <hyperlink ref="F292" r:id="rId486" xr:uid="{00000000-0004-0000-0200-0000E5010000}"/>
    <hyperlink ref="F295" r:id="rId487" xr:uid="{00000000-0004-0000-0200-0000E6010000}"/>
    <hyperlink ref="F301" r:id="rId488" xr:uid="{00000000-0004-0000-0200-0000E7010000}"/>
    <hyperlink ref="F310" r:id="rId489" xr:uid="{00000000-0004-0000-0200-0000E8010000}"/>
    <hyperlink ref="F311" r:id="rId490" xr:uid="{00000000-0004-0000-0200-0000E9010000}"/>
    <hyperlink ref="F312" r:id="rId491" xr:uid="{00000000-0004-0000-0200-0000EA010000}"/>
    <hyperlink ref="F313" r:id="rId492" xr:uid="{00000000-0004-0000-0200-0000EB010000}"/>
    <hyperlink ref="F412" r:id="rId493" xr:uid="{00000000-0004-0000-0200-0000EC010000}"/>
    <hyperlink ref="F413" r:id="rId494" xr:uid="{00000000-0004-0000-0200-0000ED010000}"/>
    <hyperlink ref="F414" r:id="rId495" xr:uid="{00000000-0004-0000-0200-0000EE010000}"/>
    <hyperlink ref="F399" r:id="rId496" xr:uid="{00000000-0004-0000-0200-0000EF010000}"/>
    <hyperlink ref="F398" r:id="rId497" xr:uid="{00000000-0004-0000-0200-0000F0010000}"/>
    <hyperlink ref="F400" r:id="rId498" xr:uid="{00000000-0004-0000-0200-0000F1010000}"/>
    <hyperlink ref="F394" r:id="rId499" xr:uid="{00000000-0004-0000-0200-0000F2010000}"/>
    <hyperlink ref="F395" r:id="rId500" xr:uid="{00000000-0004-0000-0200-0000F3010000}"/>
    <hyperlink ref="F396" r:id="rId501" xr:uid="{00000000-0004-0000-0200-0000F4010000}"/>
    <hyperlink ref="F397" r:id="rId502" xr:uid="{00000000-0004-0000-0200-0000F5010000}"/>
    <hyperlink ref="F472" r:id="rId503" xr:uid="{00000000-0004-0000-0200-0000F6010000}"/>
    <hyperlink ref="F473" r:id="rId504" xr:uid="{00000000-0004-0000-0200-0000F7010000}"/>
    <hyperlink ref="F474" r:id="rId505" xr:uid="{00000000-0004-0000-0200-0000F8010000}"/>
    <hyperlink ref="F475" r:id="rId506" xr:uid="{00000000-0004-0000-0200-0000F9010000}"/>
    <hyperlink ref="F535" r:id="rId507" xr:uid="{00000000-0004-0000-0200-0000FA010000}"/>
    <hyperlink ref="F536" r:id="rId508" xr:uid="{00000000-0004-0000-0200-0000FB010000}"/>
    <hyperlink ref="F537" r:id="rId509" xr:uid="{00000000-0004-0000-0200-0000FC010000}"/>
    <hyperlink ref="F538" r:id="rId510" xr:uid="{00000000-0004-0000-0200-0000FD010000}"/>
    <hyperlink ref="F539" r:id="rId511" xr:uid="{00000000-0004-0000-0200-0000FE010000}"/>
    <hyperlink ref="F530" r:id="rId512" xr:uid="{00000000-0004-0000-0200-0000FF010000}"/>
    <hyperlink ref="F531" r:id="rId513" xr:uid="{00000000-0004-0000-0200-000000020000}"/>
    <hyperlink ref="F532" r:id="rId514" xr:uid="{00000000-0004-0000-0200-000001020000}"/>
    <hyperlink ref="F533" r:id="rId515" xr:uid="{00000000-0004-0000-0200-000002020000}"/>
    <hyperlink ref="F534" r:id="rId516" xr:uid="{00000000-0004-0000-0200-000003020000}"/>
    <hyperlink ref="F576" r:id="rId517" xr:uid="{00000000-0004-0000-0200-000004020000}"/>
    <hyperlink ref="F577" r:id="rId518" location="schedule" xr:uid="{00000000-0004-0000-0200-000005020000}"/>
    <hyperlink ref="F578" r:id="rId519" location="schedule" xr:uid="{00000000-0004-0000-0200-000006020000}"/>
    <hyperlink ref="F579" r:id="rId520" xr:uid="{00000000-0004-0000-0200-000007020000}"/>
    <hyperlink ref="F580" r:id="rId521" location="schedule" xr:uid="{00000000-0004-0000-0200-000008020000}"/>
    <hyperlink ref="F57" r:id="rId522" xr:uid="{00000000-0004-0000-0200-000009020000}"/>
    <hyperlink ref="F238" r:id="rId523" xr:uid="{00000000-0004-0000-0200-00000A020000}"/>
    <hyperlink ref="F275" r:id="rId524" xr:uid="{00000000-0004-0000-0200-00000B020000}"/>
    <hyperlink ref="F298" r:id="rId525" xr:uid="{00000000-0004-0000-0200-00000C020000}"/>
    <hyperlink ref="F233" r:id="rId526" xr:uid="{00000000-0004-0000-0200-00000D020000}"/>
    <hyperlink ref="F234" r:id="rId527" xr:uid="{00000000-0004-0000-0200-00000E020000}"/>
    <hyperlink ref="F235" r:id="rId528" xr:uid="{00000000-0004-0000-0200-00000F020000}"/>
    <hyperlink ref="F566" r:id="rId529" xr:uid="{00000000-0004-0000-0200-000010020000}"/>
    <hyperlink ref="F567" r:id="rId530" xr:uid="{00000000-0004-0000-0200-000011020000}"/>
    <hyperlink ref="F568" r:id="rId531" xr:uid="{00000000-0004-0000-0200-000012020000}"/>
    <hyperlink ref="F569" r:id="rId532" xr:uid="{00000000-0004-0000-0200-000013020000}"/>
    <hyperlink ref="F570" r:id="rId533" xr:uid="{00000000-0004-0000-0200-000014020000}"/>
    <hyperlink ref="F277" r:id="rId534" xr:uid="{00000000-0004-0000-0200-000015020000}"/>
    <hyperlink ref="F278" r:id="rId535" xr:uid="{00000000-0004-0000-0200-000016020000}"/>
    <hyperlink ref="F306" r:id="rId536" xr:uid="{00000000-0004-0000-0200-000017020000}"/>
    <hyperlink ref="F229" r:id="rId537" xr:uid="{00000000-0004-0000-0200-000018020000}"/>
    <hyperlink ref="F230" r:id="rId538" xr:uid="{00000000-0004-0000-0200-000019020000}"/>
    <hyperlink ref="F231" r:id="rId539" xr:uid="{00000000-0004-0000-0200-00001A020000}"/>
    <hyperlink ref="F232" r:id="rId540" xr:uid="{00000000-0004-0000-0200-00001B020000}"/>
    <hyperlink ref="F318" r:id="rId541" xr:uid="{00000000-0004-0000-0200-00001C020000}"/>
    <hyperlink ref="F319" r:id="rId542" xr:uid="{00000000-0004-0000-0200-00001D020000}"/>
    <hyperlink ref="F320" r:id="rId543" xr:uid="{00000000-0004-0000-0200-00001E020000}"/>
    <hyperlink ref="F321" r:id="rId544" xr:uid="{00000000-0004-0000-0200-00001F020000}"/>
    <hyperlink ref="F322" r:id="rId545" xr:uid="{00000000-0004-0000-0200-000020020000}"/>
    <hyperlink ref="F110" r:id="rId546" xr:uid="{00000000-0004-0000-0200-000021020000}"/>
    <hyperlink ref="F111" r:id="rId547" xr:uid="{00000000-0004-0000-0200-000022020000}"/>
    <hyperlink ref="F112" r:id="rId548" xr:uid="{00000000-0004-0000-0200-000023020000}"/>
    <hyperlink ref="F113" r:id="rId549" xr:uid="{00000000-0004-0000-0200-000024020000}"/>
    <hyperlink ref="F33" r:id="rId550" xr:uid="{00000000-0004-0000-0200-000025020000}"/>
    <hyperlink ref="F119" r:id="rId551" xr:uid="{00000000-0004-0000-0200-000026020000}"/>
    <hyperlink ref="F151" r:id="rId552" xr:uid="{00000000-0004-0000-0200-000027020000}"/>
    <hyperlink ref="F152" r:id="rId553" xr:uid="{00000000-0004-0000-0200-000028020000}"/>
    <hyperlink ref="F153" r:id="rId554" xr:uid="{00000000-0004-0000-0200-000029020000}"/>
    <hyperlink ref="F154" r:id="rId555" xr:uid="{00000000-0004-0000-0200-00002A020000}"/>
    <hyperlink ref="F114" r:id="rId556" xr:uid="{00000000-0004-0000-0200-00002B020000}"/>
    <hyperlink ref="F115" r:id="rId557" xr:uid="{00000000-0004-0000-0200-00002C020000}"/>
    <hyperlink ref="F118" r:id="rId558" xr:uid="{00000000-0004-0000-0200-00002D020000}"/>
    <hyperlink ref="F160" r:id="rId559" xr:uid="{00000000-0004-0000-0200-00002E020000}"/>
    <hyperlink ref="F161" r:id="rId560" xr:uid="{00000000-0004-0000-0200-00002F020000}"/>
    <hyperlink ref="F375" r:id="rId561" xr:uid="{00000000-0004-0000-0200-000030020000}"/>
    <hyperlink ref="F377" r:id="rId562" xr:uid="{00000000-0004-0000-0200-000031020000}"/>
    <hyperlink ref="F378" r:id="rId563" xr:uid="{00000000-0004-0000-0200-000032020000}"/>
    <hyperlink ref="F137" r:id="rId564" xr:uid="{00000000-0004-0000-0200-000033020000}"/>
    <hyperlink ref="F58" r:id="rId565" xr:uid="{00000000-0004-0000-0200-000034020000}"/>
    <hyperlink ref="F167" r:id="rId566" xr:uid="{00000000-0004-0000-0200-000035020000}"/>
    <hyperlink ref="F168" r:id="rId567" xr:uid="{00000000-0004-0000-0200-000036020000}"/>
    <hyperlink ref="F279" r:id="rId568" xr:uid="{00000000-0004-0000-0200-000037020000}"/>
    <hyperlink ref="F236" r:id="rId569" xr:uid="{00000000-0004-0000-0200-000038020000}"/>
    <hyperlink ref="F380" r:id="rId570" xr:uid="{00000000-0004-0000-0200-000039020000}"/>
    <hyperlink ref="F117" r:id="rId571" xr:uid="{00000000-0004-0000-0200-00003A020000}"/>
    <hyperlink ref="F116" r:id="rId572" xr:uid="{00000000-0004-0000-0200-00003B020000}"/>
  </hyperlinks>
  <pageMargins left="0.7" right="0.7" top="0.75" bottom="0.75" header="0.3" footer="0.3"/>
  <pageSetup orientation="portrait" r:id="rId57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outlinePr summaryBelow="0" summaryRight="0"/>
  </sheetPr>
  <dimension ref="A1:J95"/>
  <sheetViews>
    <sheetView showGridLines="0" tabSelected="1" zoomScaleNormal="100" workbookViewId="0">
      <pane xSplit="2" ySplit="4" topLeftCell="C65" activePane="bottomRight" state="frozen"/>
      <selection pane="topRight"/>
      <selection pane="bottomLeft"/>
      <selection pane="bottomRight" activeCell="D5" sqref="D5:D95"/>
    </sheetView>
  </sheetViews>
  <sheetFormatPr defaultColWidth="14.109375" defaultRowHeight="15" customHeight="1"/>
  <cols>
    <col min="1" max="1" width="6.109375" customWidth="1"/>
    <col min="2" max="2" width="52" customWidth="1"/>
    <col min="3" max="3" width="24.109375" customWidth="1"/>
    <col min="4" max="5" width="15.88671875" customWidth="1"/>
    <col min="6" max="6" width="35.5546875" customWidth="1"/>
    <col min="7" max="7" width="32.5546875" customWidth="1"/>
    <col min="8" max="9" width="15.5546875" customWidth="1"/>
    <col min="10" max="10" width="15.88671875" customWidth="1"/>
  </cols>
  <sheetData>
    <row r="1" spans="1:10" ht="24.75" customHeight="1">
      <c r="A1" s="63" t="s">
        <v>19</v>
      </c>
      <c r="B1" s="63"/>
      <c r="C1" s="63"/>
      <c r="D1" s="63"/>
      <c r="E1" s="63"/>
      <c r="F1" s="63"/>
      <c r="G1" s="63"/>
      <c r="H1" s="63"/>
      <c r="I1" s="63"/>
      <c r="J1" s="63"/>
    </row>
    <row r="2" spans="1:10" ht="15" customHeight="1">
      <c r="A2" s="64" t="s">
        <v>20</v>
      </c>
      <c r="B2" s="65"/>
      <c r="C2" s="65"/>
      <c r="D2" s="65"/>
      <c r="E2" s="65"/>
      <c r="F2" s="65"/>
      <c r="G2" s="65"/>
      <c r="H2" s="65"/>
      <c r="I2" s="65"/>
      <c r="J2" s="65"/>
    </row>
    <row r="3" spans="1:10" ht="15" customHeight="1">
      <c r="A3" s="65"/>
      <c r="B3" s="65"/>
      <c r="C3" s="65"/>
      <c r="D3" s="65"/>
      <c r="E3" s="65"/>
      <c r="F3" s="65"/>
      <c r="G3" s="65"/>
      <c r="H3" s="65"/>
      <c r="I3" s="65"/>
      <c r="J3" s="65"/>
    </row>
    <row r="4" spans="1:10" ht="28.5" customHeight="1">
      <c r="A4" s="9" t="s">
        <v>2</v>
      </c>
      <c r="B4" s="12" t="s">
        <v>21</v>
      </c>
      <c r="C4" s="12" t="s">
        <v>4916</v>
      </c>
      <c r="D4" s="9" t="s">
        <v>12</v>
      </c>
      <c r="E4" s="9" t="s">
        <v>13</v>
      </c>
      <c r="F4" s="9" t="s">
        <v>5</v>
      </c>
      <c r="G4" s="12" t="s">
        <v>22</v>
      </c>
      <c r="H4" s="9" t="s">
        <v>549</v>
      </c>
      <c r="I4" s="9" t="s">
        <v>4463</v>
      </c>
      <c r="J4" s="12" t="s">
        <v>6</v>
      </c>
    </row>
    <row r="5" spans="1:10" ht="15.9" customHeight="1">
      <c r="A5" s="15">
        <v>1</v>
      </c>
      <c r="B5" s="3" t="str">
        <f>HYPERLINK("https://www.tandfonline.com/doi/abs/10.1080/09638288.2017.1356384","Beyond diagnosis: the Core Sets for persons with schizophrenia based on the World Health Organization's International Classification of Functioning, Disability, and Health")</f>
        <v>Beyond diagnosis: the Core Sets for persons with schizophrenia based on the World Health Organization's International Classification of Functioning, Disability, and Health</v>
      </c>
      <c r="C5" s="5"/>
      <c r="D5" s="5" t="s">
        <v>14</v>
      </c>
      <c r="E5" s="5" t="s">
        <v>14</v>
      </c>
      <c r="F5" s="3" t="s">
        <v>370</v>
      </c>
      <c r="G5" s="5" t="s">
        <v>371</v>
      </c>
      <c r="H5" s="15">
        <v>1</v>
      </c>
      <c r="I5" s="5" t="s">
        <v>371</v>
      </c>
      <c r="J5" s="5"/>
    </row>
    <row r="6" spans="1:10" ht="15.9" customHeight="1">
      <c r="A6" s="15">
        <v>2</v>
      </c>
      <c r="B6" s="3" t="str">
        <f>HYPERLINK("https://www.ncbi.nlm.nih.gov/pmc/articles/PMC11112473/","Digital Mental Health for Schizophrenia and Other Severe Mental Illnesses: An International Consensus on Current Challenges and Potential Solutions")</f>
        <v>Digital Mental Health for Schizophrenia and Other Severe Mental Illnesses: An International Consensus on Current Challenges and Potential Solutions</v>
      </c>
      <c r="C6" s="5" t="s">
        <v>372</v>
      </c>
      <c r="D6" s="5" t="s">
        <v>14</v>
      </c>
      <c r="E6" s="5" t="s">
        <v>14</v>
      </c>
      <c r="F6" s="3" t="s">
        <v>373</v>
      </c>
      <c r="G6" s="5" t="s">
        <v>371</v>
      </c>
      <c r="H6" s="15">
        <v>1</v>
      </c>
      <c r="I6" s="5" t="s">
        <v>371</v>
      </c>
      <c r="J6" s="5"/>
    </row>
    <row r="7" spans="1:10" ht="15.9" customHeight="1">
      <c r="A7" s="15">
        <v>3</v>
      </c>
      <c r="B7" s="3" t="str">
        <f>HYPERLINK("https://psychiatryonline.org/doi/10.1176/appi.ajp.157.2.172","Late-onset schizophrenia and very-late-onset schizophrenia-like psychosis: an international consensus. The International Late-Onset Schizophrenia Group")</f>
        <v>Late-onset schizophrenia and very-late-onset schizophrenia-like psychosis: an international consensus. The International Late-Onset Schizophrenia Group</v>
      </c>
      <c r="C7" s="5" t="s">
        <v>374</v>
      </c>
      <c r="D7" s="5" t="s">
        <v>14</v>
      </c>
      <c r="E7" s="5" t="s">
        <v>14</v>
      </c>
      <c r="F7" s="3" t="s">
        <v>375</v>
      </c>
      <c r="G7" s="5" t="s">
        <v>371</v>
      </c>
      <c r="H7" s="15">
        <v>1</v>
      </c>
      <c r="I7" s="5" t="s">
        <v>371</v>
      </c>
      <c r="J7" s="5"/>
    </row>
    <row r="8" spans="1:10" ht="15.9" customHeight="1">
      <c r="A8" s="15">
        <v>4</v>
      </c>
      <c r="B8" s="3" t="str">
        <f>HYPERLINK("https://www.ncbi.nlm.nih.gov/pmc/articles/PMC4681562/","Report on ISCTM Consensus Meeting on Clinical Assessment of Response to Treatment of Cognitive Impairment in Schizophrenia")</f>
        <v>Report on ISCTM Consensus Meeting on Clinical Assessment of Response to Treatment of Cognitive Impairment in Schizophrenia</v>
      </c>
      <c r="C8" s="5" t="s">
        <v>376</v>
      </c>
      <c r="D8" s="5" t="s">
        <v>14</v>
      </c>
      <c r="E8" s="5" t="s">
        <v>14</v>
      </c>
      <c r="F8" s="3" t="s">
        <v>377</v>
      </c>
      <c r="G8" s="5" t="s">
        <v>371</v>
      </c>
      <c r="H8" s="15">
        <v>1</v>
      </c>
      <c r="I8" s="5" t="s">
        <v>371</v>
      </c>
      <c r="J8" s="5"/>
    </row>
    <row r="9" spans="1:10" ht="15.9" customHeight="1">
      <c r="A9" s="15">
        <v>5</v>
      </c>
      <c r="B9" s="3" t="str">
        <f>HYPERLINK("https://www.tandfonline.com/doi/full/10.1080/15622970902898980#d1e389","Schizophrenia: from the brain to peripheral markers. A consensus paper of the WFSBP task force on biological markers")</f>
        <v>Schizophrenia: from the brain to peripheral markers. A consensus paper of the WFSBP task force on biological markers</v>
      </c>
      <c r="C9" s="5" t="s">
        <v>378</v>
      </c>
      <c r="D9" s="5" t="s">
        <v>14</v>
      </c>
      <c r="E9" s="5" t="s">
        <v>14</v>
      </c>
      <c r="F9" s="3" t="s">
        <v>379</v>
      </c>
      <c r="G9" s="5" t="s">
        <v>371</v>
      </c>
      <c r="H9" s="15">
        <v>1</v>
      </c>
      <c r="I9" s="5" t="s">
        <v>371</v>
      </c>
      <c r="J9" s="5"/>
    </row>
    <row r="10" spans="1:10" ht="15.9" customHeight="1">
      <c r="A10" s="15">
        <v>6</v>
      </c>
      <c r="B10" s="3" t="str">
        <f>HYPERLINK("https://www.ipa-online.org/UserFiles/file/IPA_BPSD_Specialists_Complete_Guide_Online_2015_Final.pdf","The IPA Complete Guides to Behavioral and Psychological Symptoms of Dementia (BPSD) – Specialists Guide")</f>
        <v>The IPA Complete Guides to Behavioral and Psychological Symptoms of Dementia (BPSD) – Specialists Guide</v>
      </c>
      <c r="C10" s="5" t="s">
        <v>4332</v>
      </c>
      <c r="D10" s="5" t="s">
        <v>14</v>
      </c>
      <c r="E10" s="5" t="s">
        <v>14</v>
      </c>
      <c r="F10" s="3" t="s">
        <v>4333</v>
      </c>
      <c r="G10" s="5" t="s">
        <v>4331</v>
      </c>
      <c r="H10" s="15">
        <v>2</v>
      </c>
      <c r="I10" s="5" t="s">
        <v>4335</v>
      </c>
      <c r="J10" s="5"/>
    </row>
    <row r="11" spans="1:10" ht="15.9" customHeight="1">
      <c r="A11" s="15">
        <v>7</v>
      </c>
      <c r="B11" s="3" t="str">
        <f>HYPERLINK("https://researchportal.hkr.se/en/publications/the-ipa-complete-guides-to-behavioural-and-psychological-symtoms--5","The IPA Complete Guides to Behavioural and Psychological Symtoms of Dementia, BPSD: Nurses Guide")</f>
        <v>The IPA Complete Guides to Behavioural and Psychological Symtoms of Dementia, BPSD: Nurses Guide</v>
      </c>
      <c r="C11" s="5" t="s">
        <v>4332</v>
      </c>
      <c r="D11" s="5" t="s">
        <v>14</v>
      </c>
      <c r="E11" s="5" t="s">
        <v>14</v>
      </c>
      <c r="F11" s="3" t="s">
        <v>4334</v>
      </c>
      <c r="G11" s="5" t="s">
        <v>4331</v>
      </c>
      <c r="H11" s="15">
        <v>2</v>
      </c>
      <c r="I11" s="5" t="s">
        <v>4335</v>
      </c>
      <c r="J11" s="5"/>
    </row>
    <row r="12" spans="1:10" ht="15.9" customHeight="1">
      <c r="A12" s="15">
        <v>8</v>
      </c>
      <c r="B12" s="3" t="str">
        <f>HYPERLINK("https://psychiatryonline.org/doi/10.1176/appi.ajp.2016.16050503","Treatment-Resistant Schizophrenia: Treatment Response and Resistance in Psychosis (TRRIP) Working Group Consensus Guidelines on Diagnosis and Terminology")</f>
        <v>Treatment-Resistant Schizophrenia: Treatment Response and Resistance in Psychosis (TRRIP) Working Group Consensus Guidelines on Diagnosis and Terminology</v>
      </c>
      <c r="C12" s="5" t="s">
        <v>380</v>
      </c>
      <c r="D12" s="5" t="s">
        <v>14</v>
      </c>
      <c r="E12" s="5" t="s">
        <v>14</v>
      </c>
      <c r="F12" s="3" t="s">
        <v>381</v>
      </c>
      <c r="G12" s="5" t="s">
        <v>371</v>
      </c>
      <c r="H12" s="15">
        <v>1</v>
      </c>
      <c r="I12" s="5" t="s">
        <v>371</v>
      </c>
      <c r="J12" s="5"/>
    </row>
    <row r="13" spans="1:10" ht="15.9" customHeight="1">
      <c r="A13" s="15">
        <v>9</v>
      </c>
      <c r="B13" s="3" t="str">
        <f>HYPERLINK("https://www.tandfonline.com/doi/full/10.1080/13651501.2017.1291839#abstract","World Federation of Societies of Biological Psychiatry (WFSBP) guidelines for biological treatment of schizophrenia - a short version for primary care")</f>
        <v>World Federation of Societies of Biological Psychiatry (WFSBP) guidelines for biological treatment of schizophrenia - a short version for primary care</v>
      </c>
      <c r="C13" s="5" t="s">
        <v>378</v>
      </c>
      <c r="D13" s="5" t="s">
        <v>14</v>
      </c>
      <c r="E13" s="5" t="s">
        <v>14</v>
      </c>
      <c r="F13" s="3" t="s">
        <v>382</v>
      </c>
      <c r="G13" s="5" t="s">
        <v>371</v>
      </c>
      <c r="H13" s="15">
        <v>1</v>
      </c>
      <c r="I13" s="5" t="s">
        <v>371</v>
      </c>
      <c r="J13" s="5"/>
    </row>
    <row r="14" spans="1:10" ht="15.9" customHeight="1">
      <c r="A14" s="15">
        <v>10</v>
      </c>
      <c r="B14" s="3" t="str">
        <f>HYPERLINK("https://pubmed.ncbi.nlm.nih.gov/8788074/","Consensus on minimal criteria of clinical and neuropathological diagnosis of schizophrenia and affective disorders for post mortem research. Report from the European Dementia and Schizophrenia Network (BIOMED I)")</f>
        <v>Consensus on minimal criteria of clinical and neuropathological diagnosis of schizophrenia and affective disorders for post mortem research. Report from the European Dementia and Schizophrenia Network (BIOMED I)</v>
      </c>
      <c r="C14" s="5" t="s">
        <v>486</v>
      </c>
      <c r="D14" s="5" t="s">
        <v>321</v>
      </c>
      <c r="E14" s="5" t="s">
        <v>322</v>
      </c>
      <c r="F14" s="3" t="s">
        <v>487</v>
      </c>
      <c r="G14" s="5" t="s">
        <v>371</v>
      </c>
      <c r="H14" s="15">
        <v>1</v>
      </c>
      <c r="I14" s="5" t="s">
        <v>371</v>
      </c>
      <c r="J14" s="5"/>
    </row>
    <row r="15" spans="1:10" ht="15.9" customHeight="1">
      <c r="A15" s="15">
        <v>11</v>
      </c>
      <c r="B15" s="3" t="str">
        <f>HYPERLINK("https://www.sciencedirect.com/science/article/abs/pii/S0924977X06001040?via%3Dihub","ECNP consensus meeting. Negative, depressive and cognitive symptoms of schizophrenia. Nice, March 2004")</f>
        <v>ECNP consensus meeting. Negative, depressive and cognitive symptoms of schizophrenia. Nice, March 2004</v>
      </c>
      <c r="C15" s="5" t="s">
        <v>457</v>
      </c>
      <c r="D15" s="5" t="s">
        <v>321</v>
      </c>
      <c r="E15" s="5" t="s">
        <v>322</v>
      </c>
      <c r="F15" s="3" t="s">
        <v>488</v>
      </c>
      <c r="G15" s="5" t="s">
        <v>371</v>
      </c>
      <c r="H15" s="15">
        <v>1</v>
      </c>
      <c r="I15" s="5" t="s">
        <v>371</v>
      </c>
      <c r="J15" s="5"/>
    </row>
    <row r="16" spans="1:10" ht="15.9" customHeight="1">
      <c r="A16" s="15">
        <v>12</v>
      </c>
      <c r="B16" s="3" t="str">
        <f>HYPERLINK("https://www.cambridge.org/core/services/aop-cambridge-core/content/view/86280E47EC2DA56EC5F9D8B951DF698E/S0924933821000110a.pdf/epa-guidance-on-assessment-of-negative-symptoms-in-schizophrenia.pdf","EPA Guidance on Assessment of Negative Symptoms in Schizophrenia")</f>
        <v>EPA Guidance on Assessment of Negative Symptoms in Schizophrenia</v>
      </c>
      <c r="C16" s="5" t="s">
        <v>489</v>
      </c>
      <c r="D16" s="5" t="s">
        <v>321</v>
      </c>
      <c r="E16" s="5" t="s">
        <v>322</v>
      </c>
      <c r="F16" s="3" t="s">
        <v>490</v>
      </c>
      <c r="G16" s="5" t="s">
        <v>371</v>
      </c>
      <c r="H16" s="15">
        <v>1</v>
      </c>
      <c r="I16" s="5" t="s">
        <v>371</v>
      </c>
      <c r="J16" s="5"/>
    </row>
    <row r="17" spans="1:10" ht="15.9" customHeight="1">
      <c r="A17" s="15">
        <v>13</v>
      </c>
      <c r="B17" s="3" t="str">
        <f>HYPERLINK("https://www.europsy.net/app/uploads/2021/03/epa-guidance-on-treatment-of-negative-symptoms-in-schizophrenia.pdf","EPA Guidance on Treatment of Negative Symptoms in Schizophrenia")</f>
        <v>EPA Guidance on Treatment of Negative Symptoms in Schizophrenia</v>
      </c>
      <c r="C17" s="5" t="s">
        <v>489</v>
      </c>
      <c r="D17" s="5" t="s">
        <v>321</v>
      </c>
      <c r="E17" s="5" t="s">
        <v>322</v>
      </c>
      <c r="F17" s="3" t="s">
        <v>491</v>
      </c>
      <c r="G17" s="5" t="s">
        <v>371</v>
      </c>
      <c r="H17" s="15">
        <v>1</v>
      </c>
      <c r="I17" s="5" t="s">
        <v>371</v>
      </c>
      <c r="J17" s="5"/>
    </row>
    <row r="18" spans="1:10" ht="15.9" customHeight="1">
      <c r="A18" s="15">
        <v>14</v>
      </c>
      <c r="B18" s="3" t="str">
        <f>HYPERLINK("https://www.cambridge.org/core/services/aop-cambridge-core/content/view/32291E7AE7D73DB9DDA2A4C7C91BD75A/S0924933822023161a.pdf/european-psychiatric-association-guidance-on-assessment-of-cognitive-impairment-in-schizophrenia.pdf","European Psychiatric Association Guidance on Assessment of Cognitive Impairment in Schizophrenia")</f>
        <v>European Psychiatric Association Guidance on Assessment of Cognitive Impairment in Schizophrenia</v>
      </c>
      <c r="C18" s="5" t="s">
        <v>489</v>
      </c>
      <c r="D18" s="5" t="s">
        <v>321</v>
      </c>
      <c r="E18" s="5" t="s">
        <v>322</v>
      </c>
      <c r="F18" s="3" t="s">
        <v>492</v>
      </c>
      <c r="G18" s="5" t="s">
        <v>371</v>
      </c>
      <c r="H18" s="15">
        <v>1</v>
      </c>
      <c r="I18" s="5" t="s">
        <v>371</v>
      </c>
      <c r="J18" s="5"/>
    </row>
    <row r="19" spans="1:10" ht="15.9" customHeight="1">
      <c r="A19" s="15">
        <v>15</v>
      </c>
      <c r="B19" s="3" t="str">
        <f>HYPERLINK("https://www.cambridge.org/core/services/aop-cambridge-core/content/view/05427A144DAC7E7AC9C877F62A1FDD01/S092493382202315Xa.pdf/european-psychiatric-association-guidance-on-treatment-of-cognitive-impairment-in-schizophrenia.pdf","European Psychiatric Association Guidance on Treatment of Cognitive Impairment in Schizophrenia")</f>
        <v>European Psychiatric Association Guidance on Treatment of Cognitive Impairment in Schizophrenia</v>
      </c>
      <c r="C19" s="5" t="s">
        <v>489</v>
      </c>
      <c r="D19" s="5" t="s">
        <v>321</v>
      </c>
      <c r="E19" s="5" t="s">
        <v>322</v>
      </c>
      <c r="F19" s="3" t="s">
        <v>493</v>
      </c>
      <c r="G19" s="5" t="s">
        <v>371</v>
      </c>
      <c r="H19" s="15">
        <v>1</v>
      </c>
      <c r="I19" s="5" t="s">
        <v>371</v>
      </c>
      <c r="J19" s="5"/>
    </row>
    <row r="20" spans="1:10" ht="15.9" customHeight="1">
      <c r="A20" s="15">
        <v>16</v>
      </c>
      <c r="B20" s="3" t="str">
        <f>HYPERLINK("https://www.tga.gov.au/sites/default/files/2024-06/guideline-clinical-investigation-medicinal-products-including-depot-preparations-treatment-schizophrenia-ema.pdf","Guideline on clinical investigation of medicinal products, including depot preparations, in the treatment of schizophrenia")</f>
        <v>Guideline on clinical investigation of medicinal products, including depot preparations, in the treatment of schizophrenia</v>
      </c>
      <c r="C20" s="5" t="s">
        <v>369</v>
      </c>
      <c r="D20" s="5" t="s">
        <v>321</v>
      </c>
      <c r="E20" s="5" t="s">
        <v>322</v>
      </c>
      <c r="F20" s="3" t="s">
        <v>494</v>
      </c>
      <c r="G20" s="5" t="s">
        <v>371</v>
      </c>
      <c r="H20" s="15">
        <v>1</v>
      </c>
      <c r="I20" s="5" t="s">
        <v>371</v>
      </c>
      <c r="J20" s="5"/>
    </row>
    <row r="21" spans="1:10" ht="15.9" customHeight="1">
      <c r="A21" s="15">
        <v>17</v>
      </c>
      <c r="B21" s="3" t="str">
        <f>HYPERLINK("https://ccsmh.ca/wp-content/uploads/2024/03/V4-CCSMH-BPSD-Clinical-Guidelines_Final-for-webinar.pdf","Canadian Clinical Practice Guidelines for Assessing and Managing Behavioural and Psychological Symptoms of Dementia (BPSD)")</f>
        <v>Canadian Clinical Practice Guidelines for Assessing and Managing Behavioural and Psychological Symptoms of Dementia (BPSD)</v>
      </c>
      <c r="C21" s="5" t="s">
        <v>4329</v>
      </c>
      <c r="D21" s="5" t="s">
        <v>15</v>
      </c>
      <c r="E21" s="5" t="s">
        <v>24</v>
      </c>
      <c r="F21" s="3" t="s">
        <v>4330</v>
      </c>
      <c r="G21" s="5" t="s">
        <v>4331</v>
      </c>
      <c r="H21" s="15">
        <v>2</v>
      </c>
      <c r="I21" s="5" t="s">
        <v>4335</v>
      </c>
      <c r="J21" s="5"/>
    </row>
    <row r="22" spans="1:10" ht="15.9" customHeight="1">
      <c r="A22" s="15">
        <v>18</v>
      </c>
      <c r="B22" s="3" t="str">
        <f>HYPERLINK("https://www.ncbi.nlm.nih.gov/pmc/articles/PMC5593247/","Canadian Guidelines for the Assessment and Diagnosis of Patients with Schizophrenia Spectrum and Other Psychotic Disorders")</f>
        <v>Canadian Guidelines for the Assessment and Diagnosis of Patients with Schizophrenia Spectrum and Other Psychotic Disorders</v>
      </c>
      <c r="C22" s="5" t="s">
        <v>383</v>
      </c>
      <c r="D22" s="5" t="s">
        <v>15</v>
      </c>
      <c r="E22" s="5" t="s">
        <v>24</v>
      </c>
      <c r="F22" s="3" t="s">
        <v>384</v>
      </c>
      <c r="G22" s="5" t="s">
        <v>385</v>
      </c>
      <c r="H22" s="15">
        <v>1</v>
      </c>
      <c r="I22" s="5" t="s">
        <v>371</v>
      </c>
      <c r="J22" s="5"/>
    </row>
    <row r="23" spans="1:10" ht="15.9" customHeight="1">
      <c r="A23" s="15">
        <v>19</v>
      </c>
      <c r="B23" s="3" t="str">
        <f>HYPERLINK("https://journals.sagepub.com/doi/full/10.1177/0706743717720197","Canadian Guidelines for the Pharmacological Treatment of Schizophrenia Spectrum and Other Psychotic Disorders in Children and Youth")</f>
        <v>Canadian Guidelines for the Pharmacological Treatment of Schizophrenia Spectrum and Other Psychotic Disorders in Children and Youth</v>
      </c>
      <c r="C23" s="5" t="s">
        <v>383</v>
      </c>
      <c r="D23" s="5" t="s">
        <v>15</v>
      </c>
      <c r="E23" s="5" t="s">
        <v>24</v>
      </c>
      <c r="F23" s="3" t="s">
        <v>386</v>
      </c>
      <c r="G23" s="5" t="s">
        <v>371</v>
      </c>
      <c r="H23" s="15">
        <v>1</v>
      </c>
      <c r="I23" s="5" t="s">
        <v>371</v>
      </c>
      <c r="J23" s="5"/>
    </row>
    <row r="24" spans="1:10" ht="15.9" customHeight="1">
      <c r="A24" s="15">
        <v>20</v>
      </c>
      <c r="B24" s="3" t="str">
        <f>HYPERLINK("https://www.ncbi.nlm.nih.gov/pmc/articles/PMC5593248/","Canadian Practice Guidelines for Comprehensive Community Treatment for Schizophrenia and Schizophrenia Spectrum Disorders")</f>
        <v>Canadian Practice Guidelines for Comprehensive Community Treatment for Schizophrenia and Schizophrenia Spectrum Disorders</v>
      </c>
      <c r="C24" s="5" t="s">
        <v>383</v>
      </c>
      <c r="D24" s="5" t="s">
        <v>15</v>
      </c>
      <c r="E24" s="5" t="s">
        <v>24</v>
      </c>
      <c r="F24" s="3" t="s">
        <v>387</v>
      </c>
      <c r="G24" s="5" t="s">
        <v>388</v>
      </c>
      <c r="H24" s="15">
        <v>1</v>
      </c>
      <c r="I24" s="5" t="s">
        <v>371</v>
      </c>
      <c r="J24" s="5"/>
    </row>
    <row r="25" spans="1:10" ht="15.9" customHeight="1">
      <c r="A25" s="15">
        <v>21</v>
      </c>
      <c r="B25" s="3" t="str">
        <f>HYPERLINK("https://journals.sagepub.com/doi/10.1177/0706743717719897","Canadian Schizophrenia Guidelines: Introduction and Guideline Development Process")</f>
        <v>Canadian Schizophrenia Guidelines: Introduction and Guideline Development Process</v>
      </c>
      <c r="C25" s="5" t="s">
        <v>383</v>
      </c>
      <c r="D25" s="5" t="s">
        <v>15</v>
      </c>
      <c r="E25" s="5" t="s">
        <v>24</v>
      </c>
      <c r="F25" s="3" t="s">
        <v>389</v>
      </c>
      <c r="G25" s="5" t="s">
        <v>371</v>
      </c>
      <c r="H25" s="15">
        <v>1</v>
      </c>
      <c r="I25" s="5" t="s">
        <v>371</v>
      </c>
      <c r="J25" s="5"/>
    </row>
    <row r="26" spans="1:10" ht="15.9" customHeight="1">
      <c r="A26" s="15">
        <v>22</v>
      </c>
      <c r="B26" s="3" t="str">
        <f>HYPERLINK("https://journals.sagepub.com/doi/full/10.1177/0706743717720196","Canadian Schizophrenia Guidelines: Schizophrenia and Other Psychotic Disorders with Coexisting Substance Use Disorders")</f>
        <v>Canadian Schizophrenia Guidelines: Schizophrenia and Other Psychotic Disorders with Coexisting Substance Use Disorders</v>
      </c>
      <c r="C26" s="5" t="s">
        <v>383</v>
      </c>
      <c r="D26" s="5" t="s">
        <v>15</v>
      </c>
      <c r="E26" s="5" t="s">
        <v>24</v>
      </c>
      <c r="F26" s="3" t="s">
        <v>390</v>
      </c>
      <c r="G26" s="5" t="s">
        <v>371</v>
      </c>
      <c r="H26" s="15">
        <v>1</v>
      </c>
      <c r="I26" s="5" t="s">
        <v>371</v>
      </c>
      <c r="J26" s="5"/>
    </row>
    <row r="27" spans="1:10" ht="15.9" customHeight="1">
      <c r="A27" s="15">
        <v>23</v>
      </c>
      <c r="B27" s="3" t="str">
        <f>HYPERLINK("https://journals.sagepub.com/doi/full/10.1177/0706743717719895","Canadian Treatment Guidelines for Individuals at Clinical High Risk of Psychosis")</f>
        <v>Canadian Treatment Guidelines for Individuals at Clinical High Risk of Psychosis</v>
      </c>
      <c r="C27" s="5" t="s">
        <v>383</v>
      </c>
      <c r="D27" s="5" t="s">
        <v>15</v>
      </c>
      <c r="E27" s="5" t="s">
        <v>24</v>
      </c>
      <c r="F27" s="3" t="s">
        <v>391</v>
      </c>
      <c r="G27" s="5" t="s">
        <v>392</v>
      </c>
      <c r="H27" s="15">
        <v>1</v>
      </c>
      <c r="I27" s="5" t="s">
        <v>371</v>
      </c>
      <c r="J27" s="5"/>
    </row>
    <row r="28" spans="1:10" ht="15.9" customHeight="1">
      <c r="A28" s="15">
        <v>24</v>
      </c>
      <c r="B28" s="3" t="str">
        <f>HYPERLINK("https://journals.sagepub.com/doi/full/10.1177/0706743717719894","Canadian Treatment Guidelines on Psychosocial Treatment of Schizophrenia in Adults")</f>
        <v>Canadian Treatment Guidelines on Psychosocial Treatment of Schizophrenia in Adults</v>
      </c>
      <c r="C28" s="5" t="s">
        <v>383</v>
      </c>
      <c r="D28" s="5" t="s">
        <v>15</v>
      </c>
      <c r="E28" s="5" t="s">
        <v>24</v>
      </c>
      <c r="F28" s="3" t="s">
        <v>393</v>
      </c>
      <c r="G28" s="5" t="s">
        <v>371</v>
      </c>
      <c r="H28" s="15">
        <v>1</v>
      </c>
      <c r="I28" s="5" t="s">
        <v>371</v>
      </c>
      <c r="J28" s="5"/>
    </row>
    <row r="29" spans="1:10" ht="15.9" customHeight="1">
      <c r="A29" s="15">
        <v>25</v>
      </c>
      <c r="B29" s="3" t="str">
        <f>HYPERLINK("https://journals.sagepub.com/doi/full/10.1177/0706743717720195","Canadian Treatment Guidelines on Psychosocial Treatment of Schizophrenia in Children and Youth")</f>
        <v>Canadian Treatment Guidelines on Psychosocial Treatment of Schizophrenia in Children and Youth</v>
      </c>
      <c r="C29" s="5" t="s">
        <v>383</v>
      </c>
      <c r="D29" s="5" t="s">
        <v>15</v>
      </c>
      <c r="E29" s="5" t="s">
        <v>24</v>
      </c>
      <c r="F29" s="3" t="s">
        <v>394</v>
      </c>
      <c r="G29" s="5" t="s">
        <v>371</v>
      </c>
      <c r="H29" s="15">
        <v>1</v>
      </c>
      <c r="I29" s="5" t="s">
        <v>371</v>
      </c>
      <c r="J29" s="5"/>
    </row>
    <row r="30" spans="1:10" ht="15.9" customHeight="1">
      <c r="A30" s="15">
        <v>26</v>
      </c>
      <c r="B30" s="3" t="str">
        <f>HYPERLINK("https://www.psychiatrist.com/jcp/clinical-guidance-on-treatment-resistant-schizophrenia/","Clinical Guidance on the Identification and Management of Treatment-Resistant Schizophrenia")</f>
        <v>Clinical Guidance on the Identification and Management of Treatment-Resistant Schizophrenia</v>
      </c>
      <c r="C30" s="5" t="s">
        <v>383</v>
      </c>
      <c r="D30" s="5" t="s">
        <v>15</v>
      </c>
      <c r="E30" s="5" t="s">
        <v>24</v>
      </c>
      <c r="F30" s="3" t="s">
        <v>395</v>
      </c>
      <c r="G30" s="5" t="s">
        <v>118</v>
      </c>
      <c r="H30" s="15">
        <v>1</v>
      </c>
      <c r="I30" s="5" t="s">
        <v>371</v>
      </c>
      <c r="J30" s="5"/>
    </row>
    <row r="31" spans="1:10" ht="15.9" customHeight="1">
      <c r="A31" s="15">
        <v>27</v>
      </c>
      <c r="B31" s="3" t="str">
        <f>HYPERLINK("https://journals.sagepub.com/doi/10.1177/070674379203700704?url_ver=Z39.88-2003&amp;rfr_id=ori:rid:crossref.org&amp;rfr_dat=cr_pub%20%200pubmed","Clozapine in the treatment of refractory schizophrenia: Canadian policies and clinical guidelines")</f>
        <v>Clozapine in the treatment of refractory schizophrenia: Canadian policies and clinical guidelines</v>
      </c>
      <c r="C31" s="5" t="s">
        <v>383</v>
      </c>
      <c r="D31" s="5" t="s">
        <v>15</v>
      </c>
      <c r="E31" s="5" t="s">
        <v>24</v>
      </c>
      <c r="F31" s="3" t="s">
        <v>396</v>
      </c>
      <c r="G31" s="5" t="s">
        <v>371</v>
      </c>
      <c r="H31" s="15">
        <v>1</v>
      </c>
      <c r="I31" s="5" t="s">
        <v>371</v>
      </c>
      <c r="J31" s="5"/>
    </row>
    <row r="32" spans="1:10" ht="15.9" customHeight="1">
      <c r="A32" s="15">
        <v>28</v>
      </c>
      <c r="B32" s="3" t="str">
        <f>HYPERLINK("https://www.ncbi.nlm.nih.gov/pmc/articles/PMC5593252/pdf/10.1177_0706743717720448.pdf","Guidelines for the Pharmacotherapy of Schizophrenia in Adults")</f>
        <v>Guidelines for the Pharmacotherapy of Schizophrenia in Adults</v>
      </c>
      <c r="C32" s="5" t="s">
        <v>383</v>
      </c>
      <c r="D32" s="5" t="s">
        <v>15</v>
      </c>
      <c r="E32" s="5" t="s">
        <v>24</v>
      </c>
      <c r="F32" s="3" t="s">
        <v>397</v>
      </c>
      <c r="G32" s="5" t="s">
        <v>371</v>
      </c>
      <c r="H32" s="15">
        <v>1</v>
      </c>
      <c r="I32" s="5" t="s">
        <v>371</v>
      </c>
      <c r="J32" s="5"/>
    </row>
    <row r="33" spans="1:10" ht="15.9" customHeight="1">
      <c r="A33" s="15">
        <v>29</v>
      </c>
      <c r="B33" s="3" t="str">
        <f>HYPERLINK("https://journals.sagepub.com/doi/full/10.1177/0706743717719898","Physical Health and Drug Safety in Individuals with Schizophrenia")</f>
        <v>Physical Health and Drug Safety in Individuals with Schizophrenia</v>
      </c>
      <c r="C33" s="5" t="s">
        <v>383</v>
      </c>
      <c r="D33" s="5" t="s">
        <v>15</v>
      </c>
      <c r="E33" s="5" t="s">
        <v>24</v>
      </c>
      <c r="F33" s="3" t="s">
        <v>398</v>
      </c>
      <c r="G33" s="5" t="s">
        <v>371</v>
      </c>
      <c r="H33" s="15">
        <v>1</v>
      </c>
      <c r="I33" s="5" t="s">
        <v>371</v>
      </c>
      <c r="J33" s="5"/>
    </row>
    <row r="34" spans="1:10" ht="15.9" customHeight="1">
      <c r="A34" s="15">
        <v>30</v>
      </c>
      <c r="B34" s="3" t="str">
        <f>HYPERLINK("https://pubmed.ncbi.nlm.nih.gov/24373464/","[French Society for Biological Psychiatry and Neuropsychopharmacology task force: Formal Consensus for the prescription of depot antipsychotics]")</f>
        <v>[French Society for Biological Psychiatry and Neuropsychopharmacology task force: Formal Consensus for the prescription of depot antipsychotics]</v>
      </c>
      <c r="C34" s="5" t="s">
        <v>399</v>
      </c>
      <c r="D34" s="5" t="s">
        <v>15</v>
      </c>
      <c r="E34" s="5" t="s">
        <v>292</v>
      </c>
      <c r="F34" s="3" t="s">
        <v>400</v>
      </c>
      <c r="G34" s="5" t="s">
        <v>401</v>
      </c>
      <c r="H34" s="15">
        <v>1</v>
      </c>
      <c r="I34" s="5" t="s">
        <v>371</v>
      </c>
      <c r="J34" s="5"/>
    </row>
    <row r="35" spans="1:10" ht="15.9" customHeight="1">
      <c r="A35" s="15">
        <v>31</v>
      </c>
      <c r="B35" s="3" t="str">
        <f>HYPERLINK("https://www.sciencedirect.com/science/article/abs/pii/S0013700618301660?via%3Dihub","[The 10-year findings from the FondaMental Academic Center of Expertise for Schizophrenia (FACE-SZ): Review and recommendations for clinical practice]")</f>
        <v>[The 10-year findings from the FondaMental Academic Center of Expertise for Schizophrenia (FACE-SZ): Review and recommendations for clinical practice]</v>
      </c>
      <c r="C35" s="5"/>
      <c r="D35" s="5" t="s">
        <v>15</v>
      </c>
      <c r="E35" s="5" t="s">
        <v>292</v>
      </c>
      <c r="F35" s="3" t="s">
        <v>402</v>
      </c>
      <c r="G35" s="5" t="s">
        <v>371</v>
      </c>
      <c r="H35" s="15">
        <v>1</v>
      </c>
      <c r="I35" s="5" t="s">
        <v>371</v>
      </c>
      <c r="J35" s="5"/>
    </row>
    <row r="36" spans="1:10" ht="15.9" customHeight="1">
      <c r="A36" s="15">
        <v>32</v>
      </c>
      <c r="B36" s="3" t="str">
        <f>HYPERLINK("https://pubmed.ncbi.nlm.nih.gov/10668598/","[The study of the impact of the consensus conference Strategies for long-term therapy of patients with schizophrenia]")</f>
        <v>[The study of the impact of the consensus conference Strategies for long-term therapy of patients with schizophrenia]</v>
      </c>
      <c r="C36" s="5" t="s">
        <v>403</v>
      </c>
      <c r="D36" s="5" t="s">
        <v>15</v>
      </c>
      <c r="E36" s="5" t="s">
        <v>292</v>
      </c>
      <c r="F36" s="3" t="s">
        <v>404</v>
      </c>
      <c r="G36" s="5" t="s">
        <v>371</v>
      </c>
      <c r="H36" s="15">
        <v>1</v>
      </c>
      <c r="I36" s="5" t="s">
        <v>371</v>
      </c>
      <c r="J36" s="5"/>
    </row>
    <row r="37" spans="1:10" ht="15.9" customHeight="1">
      <c r="A37" s="15">
        <v>33</v>
      </c>
      <c r="B37" s="3" t="str">
        <f>HYPERLINK("https://pubmed.ncbi.nlm.nih.gov/11408792/","Consensus on the Practical Use of Amisulpride, an Atypical Antipsychotic, in the Treatment of Schizophrenia")</f>
        <v>Consensus on the Practical Use of Amisulpride, an Atypical Antipsychotic, in the Treatment of Schizophrenia</v>
      </c>
      <c r="C37" s="5"/>
      <c r="D37" s="5" t="s">
        <v>15</v>
      </c>
      <c r="E37" s="5" t="s">
        <v>292</v>
      </c>
      <c r="F37" s="3" t="s">
        <v>405</v>
      </c>
      <c r="G37" s="5" t="s">
        <v>406</v>
      </c>
      <c r="H37" s="15">
        <v>1</v>
      </c>
      <c r="I37" s="5" t="s">
        <v>371</v>
      </c>
      <c r="J37" s="5"/>
    </row>
    <row r="38" spans="1:10" ht="15.9" customHeight="1">
      <c r="A38" s="15">
        <v>34</v>
      </c>
      <c r="B38" s="3" t="str">
        <f>HYPERLINK("https://www.has-sante.fr/upload/docs/application/pdf/2022-10/synthese_mg_schizophrenie_a_debut_precoce.pdf","Early onset schizophrenia")</f>
        <v>Early onset schizophrenia</v>
      </c>
      <c r="C38" s="5" t="s">
        <v>407</v>
      </c>
      <c r="D38" s="5" t="s">
        <v>15</v>
      </c>
      <c r="E38" s="5" t="s">
        <v>292</v>
      </c>
      <c r="F38" s="3" t="s">
        <v>408</v>
      </c>
      <c r="G38" s="5" t="s">
        <v>371</v>
      </c>
      <c r="H38" s="15">
        <v>1</v>
      </c>
      <c r="I38" s="5" t="s">
        <v>371</v>
      </c>
      <c r="J38" s="5"/>
    </row>
    <row r="39" spans="1:10" ht="15.9" customHeight="1">
      <c r="A39" s="15">
        <v>35</v>
      </c>
      <c r="B39" s="3" t="str">
        <f>HYPERLINK("https://www.sciencedirect.com/science/article/abs/pii/S0013700613701076","Guidelines on long-acting injectable atypical antipsychotics for first-episode schizophrenia")</f>
        <v>Guidelines on long-acting injectable atypical antipsychotics for first-episode schizophrenia</v>
      </c>
      <c r="C39" s="5"/>
      <c r="D39" s="5" t="s">
        <v>15</v>
      </c>
      <c r="E39" s="5" t="s">
        <v>292</v>
      </c>
      <c r="F39" s="3" t="s">
        <v>409</v>
      </c>
      <c r="G39" s="5" t="s">
        <v>410</v>
      </c>
      <c r="H39" s="15">
        <v>1</v>
      </c>
      <c r="I39" s="5" t="s">
        <v>371</v>
      </c>
      <c r="J39" s="5"/>
    </row>
    <row r="40" spans="1:10" ht="15.9" customHeight="1">
      <c r="A40" s="15">
        <v>36</v>
      </c>
      <c r="B40" s="3" t="str">
        <f>HYPERLINK("https://pubmed.ncbi.nlm.nih.gov/7754415/","The French Consensus Conference on long-term therapeutic strategies for schizophrenic psychoses")</f>
        <v>The French Consensus Conference on long-term therapeutic strategies for schizophrenic psychoses</v>
      </c>
      <c r="C40" s="5"/>
      <c r="D40" s="5" t="s">
        <v>15</v>
      </c>
      <c r="E40" s="5" t="s">
        <v>292</v>
      </c>
      <c r="F40" s="3" t="s">
        <v>411</v>
      </c>
      <c r="G40" s="5" t="s">
        <v>412</v>
      </c>
      <c r="H40" s="15">
        <v>1</v>
      </c>
      <c r="I40" s="5" t="s">
        <v>371</v>
      </c>
      <c r="J40" s="5"/>
    </row>
    <row r="41" spans="1:10" ht="15.9" customHeight="1">
      <c r="A41" s="15">
        <v>37</v>
      </c>
      <c r="B41" s="3" t="str">
        <f>HYPERLINK("https://www.hogrefe.com/de/shop/evidenzbasierte-leitlinie-zur-psychotherapie-von-schizophrenie-und-anderen-psychotischen-stoerungen-88681.html","Evidence-based guidelines for psychotherapy of schizophrenia and other psychotic disorders")</f>
        <v>Evidence-based guidelines for psychotherapy of schizophrenia and other psychotic disorders</v>
      </c>
      <c r="C41" s="5" t="s">
        <v>413</v>
      </c>
      <c r="D41" s="5" t="s">
        <v>15</v>
      </c>
      <c r="E41" s="5" t="s">
        <v>295</v>
      </c>
      <c r="F41" s="3" t="s">
        <v>414</v>
      </c>
      <c r="G41" s="5" t="s">
        <v>371</v>
      </c>
      <c r="H41" s="15">
        <v>1</v>
      </c>
      <c r="I41" s="5" t="s">
        <v>371</v>
      </c>
      <c r="J41" s="5"/>
    </row>
    <row r="42" spans="1:10" ht="15.9" customHeight="1">
      <c r="A42" s="15">
        <v>38</v>
      </c>
      <c r="B42" s="3" t="str">
        <f>HYPERLINK("https://www.psychiatrist.com/jcp/implementation-schizophrenia-practice-guideline-clinical/","Implementation of a schizophrenia practice guideline: clinical results")</f>
        <v>Implementation of a schizophrenia practice guideline: clinical results</v>
      </c>
      <c r="C42" s="5"/>
      <c r="D42" s="5" t="s">
        <v>15</v>
      </c>
      <c r="E42" s="5" t="s">
        <v>295</v>
      </c>
      <c r="F42" s="3" t="s">
        <v>415</v>
      </c>
      <c r="G42" s="5" t="s">
        <v>371</v>
      </c>
      <c r="H42" s="15">
        <v>1</v>
      </c>
      <c r="I42" s="5" t="s">
        <v>371</v>
      </c>
      <c r="J42" s="5"/>
    </row>
    <row r="43" spans="1:10" ht="15.9" customHeight="1">
      <c r="A43" s="15">
        <v>39</v>
      </c>
      <c r="B43" s="3" t="str">
        <f>HYPERLINK("https://www.dgppn.de/_Resources/Persistent/b794e84f9cbdf0d761b26cb1bd323b65188cb9e6/038-009e_S3_Schizophrenie_2019-03.pdf","S3 treatment guideline for schizophrenia (2019)")</f>
        <v>S3 treatment guideline for schizophrenia (2019)</v>
      </c>
      <c r="C43" s="5" t="s">
        <v>495</v>
      </c>
      <c r="D43" s="5" t="s">
        <v>15</v>
      </c>
      <c r="E43" s="5" t="s">
        <v>295</v>
      </c>
      <c r="F43" s="3" t="s">
        <v>416</v>
      </c>
      <c r="G43" s="5" t="s">
        <v>371</v>
      </c>
      <c r="H43" s="15">
        <v>1</v>
      </c>
      <c r="I43" s="5" t="s">
        <v>371</v>
      </c>
      <c r="J43" s="5"/>
    </row>
    <row r="44" spans="1:10" ht="15.9" customHeight="1">
      <c r="A44" s="15">
        <v>40</v>
      </c>
      <c r="B44" s="3" t="str">
        <f>HYPERLINK("https://link.springer.com/article/10.2165/00044011-200727010-00001","Aripiprazole in the treatment of schizophrenia: a consensus report produced by schizophrenia experts in Italy")</f>
        <v>Aripiprazole in the treatment of schizophrenia: a consensus report produced by schizophrenia experts in Italy</v>
      </c>
      <c r="C44" s="5"/>
      <c r="D44" s="5" t="s">
        <v>15</v>
      </c>
      <c r="E44" s="5" t="s">
        <v>16</v>
      </c>
      <c r="F44" s="3" t="s">
        <v>417</v>
      </c>
      <c r="G44" s="5" t="s">
        <v>371</v>
      </c>
      <c r="H44" s="15">
        <v>1</v>
      </c>
      <c r="I44" s="5" t="s">
        <v>371</v>
      </c>
      <c r="J44" s="5"/>
    </row>
    <row r="45" spans="1:10" ht="15.9" customHeight="1">
      <c r="A45" s="15">
        <v>41</v>
      </c>
      <c r="B45" s="3" t="str">
        <f>HYPERLINK("https://sinpia.eu/wp-content/uploads/2019/02/2007_3.pdf","SNLG: Guidelines for Early Interventions in Schizophrenia")</f>
        <v>SNLG: Guidelines for Early Interventions in Schizophrenia</v>
      </c>
      <c r="C45" s="5" t="s">
        <v>418</v>
      </c>
      <c r="D45" s="5" t="s">
        <v>15</v>
      </c>
      <c r="E45" s="5" t="s">
        <v>16</v>
      </c>
      <c r="F45" s="3" t="s">
        <v>419</v>
      </c>
      <c r="G45" s="5" t="s">
        <v>371</v>
      </c>
      <c r="H45" s="15">
        <v>1</v>
      </c>
      <c r="I45" s="5" t="s">
        <v>371</v>
      </c>
      <c r="J45" s="5"/>
    </row>
    <row r="46" spans="1:10" ht="15.9" customHeight="1">
      <c r="A46" s="15">
        <v>42</v>
      </c>
      <c r="B46" s="3" t="str">
        <f>HYPERLINK("https://pubmed.ncbi.nlm.nih.gov/25672664/","Switching antipsychotic medication to aripiprazole: position paper by a panel of Italian psychiatrists")</f>
        <v>Switching antipsychotic medication to aripiprazole: position paper by a panel of Italian psychiatrists</v>
      </c>
      <c r="C46" s="5"/>
      <c r="D46" s="5" t="s">
        <v>15</v>
      </c>
      <c r="E46" s="5" t="s">
        <v>16</v>
      </c>
      <c r="F46" s="3" t="s">
        <v>420</v>
      </c>
      <c r="G46" s="5" t="s">
        <v>421</v>
      </c>
      <c r="H46" s="15">
        <v>1</v>
      </c>
      <c r="I46" s="5" t="s">
        <v>371</v>
      </c>
      <c r="J46" s="5"/>
    </row>
    <row r="47" spans="1:10" ht="15.9" customHeight="1">
      <c r="A47" s="15">
        <v>43</v>
      </c>
      <c r="B47" s="3" t="str">
        <f>HYPERLINK("https://www.jsnp-org.jp/csrinfo/img/togo_guideline2022_0817.pdf","Guideline for Pharmacological Therapy of Schizophrenia 2022")</f>
        <v>Guideline for Pharmacological Therapy of Schizophrenia 2022</v>
      </c>
      <c r="C47" s="5" t="s">
        <v>422</v>
      </c>
      <c r="D47" s="5" t="s">
        <v>15</v>
      </c>
      <c r="E47" s="5" t="s">
        <v>316</v>
      </c>
      <c r="F47" s="3" t="s">
        <v>423</v>
      </c>
      <c r="G47" s="5" t="s">
        <v>371</v>
      </c>
      <c r="H47" s="15">
        <v>1</v>
      </c>
      <c r="I47" s="5" t="s">
        <v>371</v>
      </c>
      <c r="J47" s="5"/>
    </row>
    <row r="48" spans="1:10" ht="15.9" customHeight="1">
      <c r="A48" s="15">
        <v>44</v>
      </c>
      <c r="B48" s="3" t="str">
        <f>HYPERLINK("https://www.jsnp-org.jp/csrinfo/img/szgl_guide_all2022.pdf","Schizophrenia Medication Guide for Patients and Supporters 2022")</f>
        <v>Schizophrenia Medication Guide for Patients and Supporters 2022</v>
      </c>
      <c r="C48" s="5" t="s">
        <v>424</v>
      </c>
      <c r="D48" s="5" t="s">
        <v>15</v>
      </c>
      <c r="E48" s="5" t="s">
        <v>316</v>
      </c>
      <c r="F48" s="3" t="s">
        <v>425</v>
      </c>
      <c r="G48" s="5" t="s">
        <v>371</v>
      </c>
      <c r="H48" s="15">
        <v>1</v>
      </c>
      <c r="I48" s="5" t="s">
        <v>371</v>
      </c>
      <c r="J48" s="5"/>
    </row>
    <row r="49" spans="1:10" ht="15.9" customHeight="1">
      <c r="A49" s="15">
        <v>45</v>
      </c>
      <c r="B49" s="3" t="str">
        <f>HYPERLINK("https://pubmed.ncbi.nlm.nih.gov/18830847/","[Consensus on physical health of patients with schizophrenia from the Spanish Societies of Psychiatry and Biological Psychiatry]")</f>
        <v>[Consensus on physical health of patients with schizophrenia from the Spanish Societies of Psychiatry and Biological Psychiatry]</v>
      </c>
      <c r="C49" s="5" t="s">
        <v>426</v>
      </c>
      <c r="D49" s="5" t="s">
        <v>15</v>
      </c>
      <c r="E49" s="5" t="s">
        <v>311</v>
      </c>
      <c r="F49" s="3" t="s">
        <v>427</v>
      </c>
      <c r="G49" s="5" t="s">
        <v>371</v>
      </c>
      <c r="H49" s="15">
        <v>1</v>
      </c>
      <c r="I49" s="5" t="s">
        <v>371</v>
      </c>
      <c r="J49" s="5"/>
    </row>
    <row r="50" spans="1:10" ht="15.9" customHeight="1">
      <c r="A50" s="15">
        <v>46</v>
      </c>
      <c r="B50" s="3" t="str">
        <f>HYPERLINK("https://consaludmental.org/publicaciones/GPCesquizofrenia.pdf","Clinical Practice Guideline on Schizophrenia and Early Psychotic Disorder")</f>
        <v>Clinical Practice Guideline on Schizophrenia and Early Psychotic Disorder</v>
      </c>
      <c r="C50" s="5" t="s">
        <v>428</v>
      </c>
      <c r="D50" s="5" t="s">
        <v>15</v>
      </c>
      <c r="E50" s="5" t="s">
        <v>311</v>
      </c>
      <c r="F50" s="3" t="s">
        <v>429</v>
      </c>
      <c r="G50" s="5" t="s">
        <v>371</v>
      </c>
      <c r="H50" s="15">
        <v>1</v>
      </c>
      <c r="I50" s="5" t="s">
        <v>371</v>
      </c>
      <c r="J50" s="5"/>
    </row>
    <row r="51" spans="1:10" ht="15.9" customHeight="1">
      <c r="A51" s="15">
        <v>47</v>
      </c>
      <c r="B51" s="3" t="str">
        <f>HYPERLINK("https://www.elsevier.es/es-revista-revista-psiquiatria-salud-mental-286-linkresolver-eficacia-eficiencia-efectividad-el-tratamiento-S1888989116300593","Effectiveness, efficiency and efficacy in the multidimensional treatment of schizophrenia: Rethinking project")</f>
        <v>Effectiveness, efficiency and efficacy in the multidimensional treatment of schizophrenia: Rethinking project</v>
      </c>
      <c r="C51" s="5"/>
      <c r="D51" s="5" t="s">
        <v>15</v>
      </c>
      <c r="E51" s="5" t="s">
        <v>311</v>
      </c>
      <c r="F51" s="3" t="s">
        <v>430</v>
      </c>
      <c r="G51" s="5" t="s">
        <v>371</v>
      </c>
      <c r="H51" s="15">
        <v>1</v>
      </c>
      <c r="I51" s="5" t="s">
        <v>371</v>
      </c>
      <c r="J51" s="5"/>
    </row>
    <row r="52" spans="1:10" ht="15.9" customHeight="1">
      <c r="A52" s="15">
        <v>48</v>
      </c>
      <c r="B52" s="3" t="str">
        <f>HYPERLINK("https://www.sciencedirect.com/science/article/pii/S1888989117301416","Quality indicators in the treatment of patients with depression, bipolar disorder or schizophrenia. Consensus study")</f>
        <v>Quality indicators in the treatment of patients with depression, bipolar disorder or schizophrenia. Consensus study</v>
      </c>
      <c r="C52" s="5"/>
      <c r="D52" s="5" t="s">
        <v>15</v>
      </c>
      <c r="E52" s="5" t="s">
        <v>311</v>
      </c>
      <c r="F52" s="3" t="s">
        <v>431</v>
      </c>
      <c r="G52" s="5" t="s">
        <v>371</v>
      </c>
      <c r="H52" s="15">
        <v>1</v>
      </c>
      <c r="I52" s="5" t="s">
        <v>371</v>
      </c>
      <c r="J52" s="5"/>
    </row>
    <row r="53" spans="1:10" ht="15.9" customHeight="1">
      <c r="A53" s="15">
        <v>49</v>
      </c>
      <c r="B53" s="3" t="str">
        <f>HYPERLINK("https://www.nice.org.uk/guidance/ta213/resources/aripiprazole-for-the-treatment-of-schizophrenia-in-people-aged-15to17years-pdf-82600247981509","Aripiprazole for the treatment of schizophrenia in people aged 15 to 17 years")</f>
        <v>Aripiprazole for the treatment of schizophrenia in people aged 15 to 17 years</v>
      </c>
      <c r="C53" s="5" t="s">
        <v>439</v>
      </c>
      <c r="D53" s="5" t="s">
        <v>15</v>
      </c>
      <c r="E53" s="5" t="s">
        <v>17</v>
      </c>
      <c r="F53" s="3" t="s">
        <v>4917</v>
      </c>
      <c r="G53" s="5" t="s">
        <v>371</v>
      </c>
      <c r="H53" s="15">
        <v>1</v>
      </c>
      <c r="I53" s="5" t="s">
        <v>371</v>
      </c>
      <c r="J53" s="5"/>
    </row>
    <row r="54" spans="1:10" ht="15.9" customHeight="1">
      <c r="A54" s="15">
        <v>50</v>
      </c>
      <c r="B54" s="3" t="str">
        <f>HYPERLINK("https://onlinelibrary.wiley.com/doi/10.1111/j.1368-5031.2005.00498.x","Aripiprazole in schizophrenia: consensus guidelines")</f>
        <v>Aripiprazole in schizophrenia: consensus guidelines</v>
      </c>
      <c r="C54" s="5"/>
      <c r="D54" s="5" t="s">
        <v>15</v>
      </c>
      <c r="E54" s="5" t="s">
        <v>17</v>
      </c>
      <c r="F54" s="3" t="s">
        <v>432</v>
      </c>
      <c r="G54" s="5" t="s">
        <v>371</v>
      </c>
      <c r="H54" s="15">
        <v>1</v>
      </c>
      <c r="I54" s="5" t="s">
        <v>371</v>
      </c>
      <c r="J54" s="5"/>
    </row>
    <row r="55" spans="1:10" ht="15.9" customHeight="1">
      <c r="A55" s="15">
        <v>51</v>
      </c>
      <c r="B55" s="3" t="str">
        <f>HYPERLINK("https://pubmed.ncbi.nlm.nih.gov/19132965/","Connecting patient needs with treatment management")</f>
        <v>Connecting patient needs with treatment management</v>
      </c>
      <c r="C55" s="5"/>
      <c r="D55" s="5" t="s">
        <v>15</v>
      </c>
      <c r="E55" s="5" t="s">
        <v>17</v>
      </c>
      <c r="F55" s="3" t="s">
        <v>433</v>
      </c>
      <c r="G55" s="5" t="s">
        <v>371</v>
      </c>
      <c r="H55" s="15">
        <v>1</v>
      </c>
      <c r="I55" s="5" t="s">
        <v>371</v>
      </c>
      <c r="J55" s="5"/>
    </row>
    <row r="56" spans="1:10" ht="15.9" customHeight="1">
      <c r="A56" s="15">
        <v>52</v>
      </c>
      <c r="B56" s="3" t="str">
        <f>HYPERLINK("https://www.tandfonline.com/doi/full/10.1185/03007995.2013.766591","Consensus statement on the use of intramuscular aripiprazole for the rapid control of agitation in bipolar mania and schizophrenia")</f>
        <v>Consensus statement on the use of intramuscular aripiprazole for the rapid control of agitation in bipolar mania and schizophrenia</v>
      </c>
      <c r="C56" s="5"/>
      <c r="D56" s="5" t="s">
        <v>15</v>
      </c>
      <c r="E56" s="5" t="s">
        <v>17</v>
      </c>
      <c r="F56" s="3" t="s">
        <v>434</v>
      </c>
      <c r="G56" s="5" t="s">
        <v>371</v>
      </c>
      <c r="H56" s="15">
        <v>1</v>
      </c>
      <c r="I56" s="5" t="s">
        <v>371</v>
      </c>
      <c r="J56" s="5"/>
    </row>
    <row r="57" spans="1:10" ht="15.9" customHeight="1">
      <c r="A57" s="15">
        <v>53</v>
      </c>
      <c r="B57" s="3" t="str">
        <f>HYPERLINK("https://www.bap.org.uk/pdfs/BAP_Guidelines-Schizophrenia2.pdf","Evidence-based guidelines for the pharmacological treatment of schizophrenia: Updated recommendations from the British Association for Psychopharmacology")</f>
        <v>Evidence-based guidelines for the pharmacological treatment of schizophrenia: Updated recommendations from the British Association for Psychopharmacology</v>
      </c>
      <c r="C57" s="5" t="s">
        <v>435</v>
      </c>
      <c r="D57" s="5" t="s">
        <v>15</v>
      </c>
      <c r="E57" s="5" t="s">
        <v>17</v>
      </c>
      <c r="F57" s="3" t="s">
        <v>436</v>
      </c>
      <c r="G57" s="5" t="s">
        <v>371</v>
      </c>
      <c r="H57" s="15">
        <v>1</v>
      </c>
      <c r="I57" s="5" t="s">
        <v>371</v>
      </c>
      <c r="J57" s="5"/>
    </row>
    <row r="58" spans="1:10" ht="15.9" customHeight="1">
      <c r="A58" s="15">
        <v>54</v>
      </c>
      <c r="B58" s="3" t="str">
        <f>HYPERLINK("https://www.sign.ac.uk/assets/sign131.pdf","Management of Schizophrenia")</f>
        <v>Management of Schizophrenia</v>
      </c>
      <c r="C58" s="5" t="s">
        <v>437</v>
      </c>
      <c r="D58" s="5" t="s">
        <v>15</v>
      </c>
      <c r="E58" s="5" t="s">
        <v>17</v>
      </c>
      <c r="F58" s="3" t="s">
        <v>438</v>
      </c>
      <c r="G58" s="5" t="s">
        <v>371</v>
      </c>
      <c r="H58" s="15">
        <v>1</v>
      </c>
      <c r="I58" s="5" t="s">
        <v>371</v>
      </c>
      <c r="J58" s="5"/>
    </row>
    <row r="59" spans="1:10" ht="15.9" customHeight="1">
      <c r="A59" s="15">
        <v>55</v>
      </c>
      <c r="B59" s="3" t="str">
        <f>HYPERLINK("https://www.nice.org.uk/guidance/cg178/resources/psychosis-and-schizophrenia-in-adults-prevention-and-management-pdf-35109758952133","Psychosis and schizophrenia in adults: prevention and management")</f>
        <v>Psychosis and schizophrenia in adults: prevention and management</v>
      </c>
      <c r="C59" s="5" t="s">
        <v>439</v>
      </c>
      <c r="D59" s="5" t="s">
        <v>15</v>
      </c>
      <c r="E59" s="5" t="s">
        <v>17</v>
      </c>
      <c r="F59" s="3" t="s">
        <v>440</v>
      </c>
      <c r="G59" s="5" t="s">
        <v>392</v>
      </c>
      <c r="H59" s="15">
        <v>1</v>
      </c>
      <c r="I59" s="5" t="s">
        <v>371</v>
      </c>
      <c r="J59" s="5"/>
    </row>
    <row r="60" spans="1:10" ht="15.9" customHeight="1">
      <c r="A60" s="15">
        <v>56</v>
      </c>
      <c r="B60" s="3" t="str">
        <f>HYPERLINK("https://www.nice.org.uk/guidance/cg155/resources/psychosis-and-schizophrenia-in-children-and-young-people-recognition-and-management-pdf-35109632980933","Psychosis and schizophrenia in children and young people: recognition and management")</f>
        <v>Psychosis and schizophrenia in children and young people: recognition and management</v>
      </c>
      <c r="C60" s="5" t="s">
        <v>439</v>
      </c>
      <c r="D60" s="5" t="s">
        <v>15</v>
      </c>
      <c r="E60" s="5" t="s">
        <v>17</v>
      </c>
      <c r="F60" s="3" t="s">
        <v>441</v>
      </c>
      <c r="G60" s="5" t="s">
        <v>392</v>
      </c>
      <c r="H60" s="15">
        <v>1</v>
      </c>
      <c r="I60" s="5" t="s">
        <v>371</v>
      </c>
      <c r="J60" s="5"/>
    </row>
    <row r="61" spans="1:10" ht="15.9" customHeight="1">
      <c r="A61" s="15">
        <v>57</v>
      </c>
      <c r="B61" s="3" t="str">
        <f>HYPERLINK("https://www.cambridge.org/core/journals/cns-spectrums/article/metaguidelines-for-the-management-of-patients-with-schizophrenia/C47CEB6C55423179EE774D7AABEA45CF","“Meta-guidelines” for the management of patients with schizophrenia")</f>
        <v>“Meta-guidelines” for the management of patients with schizophrenia</v>
      </c>
      <c r="C61" s="5" t="s">
        <v>442</v>
      </c>
      <c r="D61" s="5" t="s">
        <v>15</v>
      </c>
      <c r="E61" s="5" t="s">
        <v>18</v>
      </c>
      <c r="F61" s="3" t="s">
        <v>443</v>
      </c>
      <c r="G61" s="5" t="s">
        <v>371</v>
      </c>
      <c r="H61" s="15">
        <v>1</v>
      </c>
      <c r="I61" s="5" t="s">
        <v>371</v>
      </c>
      <c r="J61" s="5"/>
    </row>
    <row r="62" spans="1:10" ht="15.9" customHeight="1">
      <c r="A62" s="15">
        <v>58</v>
      </c>
      <c r="B62" s="3" t="str">
        <f>HYPERLINK("https://pubmed.ncbi.nlm.nih.gov/3062765/","A national plan for schizophrenia research: panel recommendations. Research resources")</f>
        <v>A national plan for schizophrenia research: panel recommendations. Research resources</v>
      </c>
      <c r="C62" s="5"/>
      <c r="D62" s="5" t="s">
        <v>15</v>
      </c>
      <c r="E62" s="5" t="s">
        <v>18</v>
      </c>
      <c r="F62" s="3" t="s">
        <v>444</v>
      </c>
      <c r="G62" s="5" t="s">
        <v>371</v>
      </c>
      <c r="H62" s="15">
        <v>1</v>
      </c>
      <c r="I62" s="5" t="s">
        <v>371</v>
      </c>
      <c r="J62" s="5"/>
    </row>
    <row r="63" spans="1:10" ht="15.9" customHeight="1">
      <c r="A63" s="15">
        <v>59</v>
      </c>
      <c r="B63" s="3" t="str">
        <f>HYPERLINK("https://www.psychiatrist.com/jcp/algorithm-treatment-schizophrenia-correctional-setting/","An algorithm for the treatment of schizophrenia in the correctional setting: the Forensic Algorithm Project")</f>
        <v>An algorithm for the treatment of schizophrenia in the correctional setting: the Forensic Algorithm Project</v>
      </c>
      <c r="C63" s="5"/>
      <c r="D63" s="5" t="s">
        <v>15</v>
      </c>
      <c r="E63" s="5" t="s">
        <v>18</v>
      </c>
      <c r="F63" s="3" t="s">
        <v>445</v>
      </c>
      <c r="G63" s="5" t="s">
        <v>371</v>
      </c>
      <c r="H63" s="15">
        <v>1</v>
      </c>
      <c r="I63" s="5" t="s">
        <v>371</v>
      </c>
      <c r="J63" s="5"/>
    </row>
    <row r="64" spans="1:10" ht="15.9" customHeight="1">
      <c r="A64" s="15">
        <v>60</v>
      </c>
      <c r="B64" s="3" t="str">
        <f>HYPERLINK("https://pubmed.ncbi.nlm.nih.gov/16469940/","An industry perspective on the NIMH consensus statement on negative symptoms")</f>
        <v>An industry perspective on the NIMH consensus statement on negative symptoms</v>
      </c>
      <c r="C64" s="5" t="s">
        <v>314</v>
      </c>
      <c r="D64" s="5" t="s">
        <v>15</v>
      </c>
      <c r="E64" s="5" t="s">
        <v>18</v>
      </c>
      <c r="F64" s="3" t="s">
        <v>446</v>
      </c>
      <c r="G64" s="5" t="s">
        <v>447</v>
      </c>
      <c r="H64" s="15">
        <v>1</v>
      </c>
      <c r="I64" s="5" t="s">
        <v>371</v>
      </c>
      <c r="J64" s="5"/>
    </row>
    <row r="65" spans="1:10" ht="15.9" customHeight="1">
      <c r="A65" s="15">
        <v>61</v>
      </c>
      <c r="B65" s="3" t="str">
        <f>HYPERLINK("https://pubmed.ncbi.nlm.nih.gov/16247923/","Best clinical practice with ziprasidone IM: update after 2 years of experience")</f>
        <v>Best clinical practice with ziprasidone IM: update after 2 years of experience</v>
      </c>
      <c r="C65" s="5"/>
      <c r="D65" s="5" t="s">
        <v>15</v>
      </c>
      <c r="E65" s="5" t="s">
        <v>18</v>
      </c>
      <c r="F65" s="3" t="s">
        <v>448</v>
      </c>
      <c r="G65" s="5" t="s">
        <v>449</v>
      </c>
      <c r="H65" s="15">
        <v>1</v>
      </c>
      <c r="I65" s="5" t="s">
        <v>371</v>
      </c>
      <c r="J65" s="5"/>
    </row>
    <row r="66" spans="1:10" ht="15.9" customHeight="1">
      <c r="A66" s="15">
        <v>62</v>
      </c>
      <c r="B66" s="3" t="str">
        <f>HYPERLINK("https://pubmed.ncbi.nlm.nih.gov/21965468/","Brain mapping biomarkers of socio-emotional processing in schizophrenia")</f>
        <v>Brain mapping biomarkers of socio-emotional processing in schizophrenia</v>
      </c>
      <c r="C66" s="5"/>
      <c r="D66" s="5" t="s">
        <v>15</v>
      </c>
      <c r="E66" s="5" t="s">
        <v>18</v>
      </c>
      <c r="F66" s="3" t="s">
        <v>450</v>
      </c>
      <c r="G66" s="5" t="s">
        <v>371</v>
      </c>
      <c r="H66" s="15">
        <v>1</v>
      </c>
      <c r="I66" s="5" t="s">
        <v>371</v>
      </c>
      <c r="J66" s="5"/>
    </row>
    <row r="67" spans="1:10" ht="15.9" customHeight="1">
      <c r="A67" s="15">
        <v>63</v>
      </c>
      <c r="B67" s="3" t="str">
        <f>HYPERLINK("https://pubmed.ncbi.nlm.nih.gov/21765166/","CNTRICS final biomarker selection: Control of attention")</f>
        <v>CNTRICS final biomarker selection: Control of attention</v>
      </c>
      <c r="C67" s="5"/>
      <c r="D67" s="5" t="s">
        <v>15</v>
      </c>
      <c r="E67" s="5" t="s">
        <v>18</v>
      </c>
      <c r="F67" s="3" t="s">
        <v>451</v>
      </c>
      <c r="G67" s="5" t="s">
        <v>371</v>
      </c>
      <c r="H67" s="15">
        <v>1</v>
      </c>
      <c r="I67" s="5" t="s">
        <v>371</v>
      </c>
      <c r="J67" s="5"/>
    </row>
    <row r="68" spans="1:10" ht="15.9" customHeight="1">
      <c r="A68" s="15">
        <v>64</v>
      </c>
      <c r="B68" s="3" t="str">
        <f>HYPERLINK("https://pubmed.ncbi.nlm.nih.gov/22114099/","CNTRICS imaging biomarker selections: Executive control paradigms")</f>
        <v>CNTRICS imaging biomarker selections: Executive control paradigms</v>
      </c>
      <c r="C68" s="5"/>
      <c r="D68" s="5" t="s">
        <v>15</v>
      </c>
      <c r="E68" s="5" t="s">
        <v>18</v>
      </c>
      <c r="F68" s="3" t="s">
        <v>452</v>
      </c>
      <c r="G68" s="5" t="s">
        <v>371</v>
      </c>
      <c r="H68" s="15">
        <v>1</v>
      </c>
      <c r="I68" s="5" t="s">
        <v>371</v>
      </c>
      <c r="J68" s="5"/>
    </row>
    <row r="69" spans="1:10" ht="15.9" customHeight="1">
      <c r="A69" s="15">
        <v>65</v>
      </c>
      <c r="B69" s="3" t="str">
        <f>HYPERLINK("https://pubmed.ncbi.nlm.nih.gov/22102094/","CNTRICS imaging biomarkers final task selection: Long-term memory and reinforcement learning")</f>
        <v>CNTRICS imaging biomarkers final task selection: Long-term memory and reinforcement learning</v>
      </c>
      <c r="C69" s="5"/>
      <c r="D69" s="5" t="s">
        <v>15</v>
      </c>
      <c r="E69" s="5" t="s">
        <v>18</v>
      </c>
      <c r="F69" s="3" t="s">
        <v>453</v>
      </c>
      <c r="G69" s="5" t="s">
        <v>371</v>
      </c>
      <c r="H69" s="15">
        <v>1</v>
      </c>
      <c r="I69" s="5" t="s">
        <v>371</v>
      </c>
      <c r="J69" s="5"/>
    </row>
    <row r="70" spans="1:10" ht="15.9" customHeight="1">
      <c r="A70" s="15">
        <v>66</v>
      </c>
      <c r="B70" s="3" t="str">
        <f>HYPERLINK("https://pubmed.ncbi.nlm.nih.gov/22080498/","CNTRICS imaging biomarkers selection: Working memory")</f>
        <v>CNTRICS imaging biomarkers selection: Working memory</v>
      </c>
      <c r="C70" s="5"/>
      <c r="D70" s="5" t="s">
        <v>15</v>
      </c>
      <c r="E70" s="5" t="s">
        <v>18</v>
      </c>
      <c r="F70" s="3" t="s">
        <v>454</v>
      </c>
      <c r="G70" s="5" t="s">
        <v>371</v>
      </c>
      <c r="H70" s="15">
        <v>1</v>
      </c>
      <c r="I70" s="5" t="s">
        <v>371</v>
      </c>
      <c r="J70" s="5"/>
    </row>
    <row r="71" spans="1:10" ht="15.9" customHeight="1">
      <c r="A71" s="15">
        <v>67</v>
      </c>
      <c r="B71" s="3" t="str">
        <f>HYPERLINK("https://pubmed.ncbi.nlm.nih.gov/15096076/","Cognitive functioning in schizophrenia: a consensus statement on its role in the definition and evaluation of effective treatments for the illness")</f>
        <v>Cognitive functioning in schizophrenia: a consensus statement on its role in the definition and evaluation of effective treatments for the illness</v>
      </c>
      <c r="C71" s="5"/>
      <c r="D71" s="5" t="s">
        <v>15</v>
      </c>
      <c r="E71" s="5" t="s">
        <v>18</v>
      </c>
      <c r="F71" s="3" t="s">
        <v>455</v>
      </c>
      <c r="G71" s="5" t="s">
        <v>371</v>
      </c>
      <c r="H71" s="15">
        <v>1</v>
      </c>
      <c r="I71" s="5" t="s">
        <v>371</v>
      </c>
      <c r="J71" s="5"/>
    </row>
    <row r="72" spans="1:10" ht="15.9" customHeight="1">
      <c r="A72" s="15">
        <v>68</v>
      </c>
      <c r="B72" s="3" t="str">
        <f>HYPERLINK("https://pubmed.ncbi.nlm.nih.gov/18549874/","Executive functioning component mechanisms and schizophrenia")</f>
        <v>Executive functioning component mechanisms and schizophrenia</v>
      </c>
      <c r="C72" s="5"/>
      <c r="D72" s="5" t="s">
        <v>15</v>
      </c>
      <c r="E72" s="5" t="s">
        <v>18</v>
      </c>
      <c r="F72" s="3" t="s">
        <v>456</v>
      </c>
      <c r="G72" s="5" t="s">
        <v>371</v>
      </c>
      <c r="H72" s="15">
        <v>1</v>
      </c>
      <c r="I72" s="5" t="s">
        <v>371</v>
      </c>
      <c r="J72" s="5"/>
    </row>
    <row r="73" spans="1:10" ht="15.9" customHeight="1">
      <c r="A73" s="15">
        <v>69</v>
      </c>
      <c r="B73" s="3" t="str">
        <f>HYPERLINK("https://linkinghub.elsevier.com/retrieve/pii/S0924977X9700045X","Guidelines for depot antipsychotic treatment in schizophrenia. European Neuropsychopharmacology Consensus Conference in Siena, Italy")</f>
        <v>Guidelines for depot antipsychotic treatment in schizophrenia. European Neuropsychopharmacology Consensus Conference in Siena, Italy</v>
      </c>
      <c r="C73" s="5" t="s">
        <v>457</v>
      </c>
      <c r="D73" s="5" t="s">
        <v>15</v>
      </c>
      <c r="E73" s="5" t="s">
        <v>18</v>
      </c>
      <c r="F73" s="3" t="s">
        <v>458</v>
      </c>
      <c r="G73" s="5" t="s">
        <v>371</v>
      </c>
      <c r="H73" s="15">
        <v>1</v>
      </c>
      <c r="I73" s="5" t="s">
        <v>371</v>
      </c>
      <c r="J73" s="5"/>
    </row>
    <row r="74" spans="1:10" ht="15.9" customHeight="1">
      <c r="A74" s="15">
        <v>70</v>
      </c>
      <c r="B74" s="3" t="str">
        <f>HYPERLINK("https://pubmed.ncbi.nlm.nih.gov/18466880/","Identifying cognitive mechanisms targeted for treatment development in schizophrenia: an overview of the first meeting of the Cognitive Neuroscience Treatment Research to Improve Cognition in Schizophrenia Initiative")</f>
        <v>Identifying cognitive mechanisms targeted for treatment development in schizophrenia: an overview of the first meeting of the Cognitive Neuroscience Treatment Research to Improve Cognition in Schizophrenia Initiative</v>
      </c>
      <c r="C74" s="5" t="s">
        <v>459</v>
      </c>
      <c r="D74" s="5" t="s">
        <v>15</v>
      </c>
      <c r="E74" s="5" t="s">
        <v>18</v>
      </c>
      <c r="F74" s="3" t="s">
        <v>460</v>
      </c>
      <c r="G74" s="5" t="s">
        <v>371</v>
      </c>
      <c r="H74" s="15">
        <v>1</v>
      </c>
      <c r="I74" s="5" t="s">
        <v>371</v>
      </c>
      <c r="J74" s="5"/>
    </row>
    <row r="75" spans="1:10" ht="15.9" customHeight="1">
      <c r="A75" s="15">
        <v>71</v>
      </c>
      <c r="B75" s="3" t="str">
        <f>HYPERLINK("https://www.ncbi.nlm.nih.gov/pmc/articles/PMC2599914/","Improving the care of individuals with schizophrenia and substance use disorders: consensus recommendations")</f>
        <v>Improving the care of individuals with schizophrenia and substance use disorders: consensus recommendations</v>
      </c>
      <c r="C75" s="5"/>
      <c r="D75" s="5" t="s">
        <v>15</v>
      </c>
      <c r="E75" s="5" t="s">
        <v>18</v>
      </c>
      <c r="F75" s="3" t="s">
        <v>461</v>
      </c>
      <c r="G75" s="5" t="s">
        <v>371</v>
      </c>
      <c r="H75" s="15">
        <v>1</v>
      </c>
      <c r="I75" s="5" t="s">
        <v>371</v>
      </c>
      <c r="J75" s="5"/>
    </row>
    <row r="76" spans="1:10" ht="15.9" customHeight="1">
      <c r="A76" s="15">
        <v>72</v>
      </c>
      <c r="B76" s="3" t="str">
        <f>HYPERLINK("https://pubmed.ncbi.nlm.nih.gov/17314729/","Is there a role for clozapine in the treatment of children and adolescents?")</f>
        <v>Is there a role for clozapine in the treatment of children and adolescents?</v>
      </c>
      <c r="C76" s="5"/>
      <c r="D76" s="5" t="s">
        <v>15</v>
      </c>
      <c r="E76" s="5" t="s">
        <v>18</v>
      </c>
      <c r="F76" s="3" t="s">
        <v>462</v>
      </c>
      <c r="G76" s="5" t="s">
        <v>463</v>
      </c>
      <c r="H76" s="15">
        <v>1</v>
      </c>
      <c r="I76" s="5" t="s">
        <v>371</v>
      </c>
      <c r="J76" s="5"/>
    </row>
    <row r="77" spans="1:10" ht="15.9" customHeight="1">
      <c r="A77" s="15">
        <v>73</v>
      </c>
      <c r="B77" s="3" t="str">
        <f>HYPERLINK("https://www.aafp.org/pubs/afp/issues/2024/0500/practice-guidelines-first-episode-psychosis-and-schizophrenia.html","Management of First-Episode Psychosis and Schizophrenia: Guidelines From the VA/DoD")</f>
        <v>Management of First-Episode Psychosis and Schizophrenia: Guidelines From the VA/DoD</v>
      </c>
      <c r="C77" s="5" t="s">
        <v>464</v>
      </c>
      <c r="D77" s="5" t="s">
        <v>15</v>
      </c>
      <c r="E77" s="5" t="s">
        <v>18</v>
      </c>
      <c r="F77" s="3" t="s">
        <v>465</v>
      </c>
      <c r="G77" s="5" t="s">
        <v>466</v>
      </c>
      <c r="H77" s="15">
        <v>1</v>
      </c>
      <c r="I77" s="5" t="s">
        <v>371</v>
      </c>
      <c r="J77" s="5"/>
    </row>
    <row r="78" spans="1:10" ht="15.9" customHeight="1">
      <c r="A78" s="15">
        <v>74</v>
      </c>
      <c r="B78" s="3" t="str">
        <f>HYPERLINK("https://www.ncbi.nlm.nih.gov/pmc/articles/PMC3245585/","Perceptual measurement in schizophrenia: promising electrophysiology and neuroimaging paradigms from CNTRICS")</f>
        <v>Perceptual measurement in schizophrenia: promising electrophysiology and neuroimaging paradigms from CNTRICS</v>
      </c>
      <c r="C78" s="5" t="s">
        <v>459</v>
      </c>
      <c r="D78" s="5" t="s">
        <v>15</v>
      </c>
      <c r="E78" s="5" t="s">
        <v>18</v>
      </c>
      <c r="F78" s="3" t="s">
        <v>467</v>
      </c>
      <c r="G78" s="5" t="s">
        <v>371</v>
      </c>
      <c r="H78" s="15">
        <v>1</v>
      </c>
      <c r="I78" s="5" t="s">
        <v>371</v>
      </c>
      <c r="J78" s="5"/>
    </row>
    <row r="79" spans="1:10" ht="15.9" customHeight="1">
      <c r="A79" s="15">
        <v>75</v>
      </c>
      <c r="B79" s="3" t="str">
        <f>HYPERLINK("https://psychiatryonline.org/doi/10.1176/appi.ajp.161.8.1334","Physical health monitoring of patients with schizophrenia")</f>
        <v>Physical health monitoring of patients with schizophrenia</v>
      </c>
      <c r="C79" s="5"/>
      <c r="D79" s="5" t="s">
        <v>15</v>
      </c>
      <c r="E79" s="5" t="s">
        <v>18</v>
      </c>
      <c r="F79" s="3" t="s">
        <v>468</v>
      </c>
      <c r="G79" s="5" t="s">
        <v>371</v>
      </c>
      <c r="H79" s="15">
        <v>1</v>
      </c>
      <c r="I79" s="5" t="s">
        <v>371</v>
      </c>
      <c r="J79" s="5"/>
    </row>
    <row r="80" spans="1:10" ht="15.9" customHeight="1">
      <c r="A80" s="15">
        <v>76</v>
      </c>
      <c r="B80" s="3" t="str">
        <f>HYPERLINK("https://www.jaacap.org/article/S0890-8567(13)00112-3/pdf","Practice Parameter for the Assessment and Treatment of Children and Adolescents With Schizophrenia")</f>
        <v>Practice Parameter for the Assessment and Treatment of Children and Adolescents With Schizophrenia</v>
      </c>
      <c r="C80" s="5" t="s">
        <v>469</v>
      </c>
      <c r="D80" s="5" t="s">
        <v>15</v>
      </c>
      <c r="E80" s="5" t="s">
        <v>18</v>
      </c>
      <c r="F80" s="3" t="s">
        <v>470</v>
      </c>
      <c r="G80" s="5" t="s">
        <v>371</v>
      </c>
      <c r="H80" s="15">
        <v>1</v>
      </c>
      <c r="I80" s="5" t="s">
        <v>371</v>
      </c>
      <c r="J80" s="5"/>
    </row>
    <row r="81" spans="1:10" ht="15.9" customHeight="1">
      <c r="A81" s="15">
        <v>77</v>
      </c>
      <c r="B81" s="3" t="str">
        <f>HYPERLINK("https://www.ajgponline.org/article/S1064-7481(12)60994-4/abstract","Schizophrenia and older adults. An overview: directions for research and policy")</f>
        <v>Schizophrenia and older adults. An overview: directions for research and policy</v>
      </c>
      <c r="C81" s="5" t="s">
        <v>471</v>
      </c>
      <c r="D81" s="5" t="s">
        <v>15</v>
      </c>
      <c r="E81" s="5" t="s">
        <v>18</v>
      </c>
      <c r="F81" s="3" t="s">
        <v>472</v>
      </c>
      <c r="G81" s="5" t="s">
        <v>371</v>
      </c>
      <c r="H81" s="15">
        <v>1</v>
      </c>
      <c r="I81" s="5" t="s">
        <v>371</v>
      </c>
      <c r="J81" s="5"/>
    </row>
    <row r="82" spans="1:10" ht="15.9" customHeight="1">
      <c r="A82" s="15">
        <v>78</v>
      </c>
      <c r="B82" s="3" t="str">
        <f>HYPERLINK("https://pubmed.ncbi.nlm.nih.gov/18184635/","Social cognition in schizophrenia: an NIMH workshop on definitions, assessment, and research opportunities")</f>
        <v>Social cognition in schizophrenia: an NIMH workshop on definitions, assessment, and research opportunities</v>
      </c>
      <c r="C82" s="5" t="s">
        <v>314</v>
      </c>
      <c r="D82" s="5" t="s">
        <v>15</v>
      </c>
      <c r="E82" s="5" t="s">
        <v>18</v>
      </c>
      <c r="F82" s="3" t="s">
        <v>473</v>
      </c>
      <c r="G82" s="5" t="s">
        <v>447</v>
      </c>
      <c r="H82" s="15">
        <v>1</v>
      </c>
      <c r="I82" s="5" t="s">
        <v>371</v>
      </c>
      <c r="J82" s="5"/>
    </row>
    <row r="83" spans="1:10" ht="15.9" customHeight="1">
      <c r="A83" s="15">
        <v>79</v>
      </c>
      <c r="B83" s="3" t="str">
        <f>HYPERLINK("https://psychiatryonline.org/doi/epdf/10.1176/appi.books.9780890424841","The American Psychiatric Association Practice Guideline for the Treatment of Patients With Schizophrenia (Third Edition)")</f>
        <v>The American Psychiatric Association Practice Guideline for the Treatment of Patients With Schizophrenia (Third Edition)</v>
      </c>
      <c r="C83" s="5" t="s">
        <v>380</v>
      </c>
      <c r="D83" s="5" t="s">
        <v>15</v>
      </c>
      <c r="E83" s="5" t="s">
        <v>18</v>
      </c>
      <c r="F83" s="3" t="s">
        <v>5000</v>
      </c>
      <c r="G83" s="5" t="s">
        <v>371</v>
      </c>
      <c r="H83" s="15">
        <v>1</v>
      </c>
      <c r="I83" s="5" t="s">
        <v>371</v>
      </c>
      <c r="J83" s="5"/>
    </row>
    <row r="84" spans="1:10" ht="15.9" customHeight="1">
      <c r="A84" s="15">
        <v>80</v>
      </c>
      <c r="B84" s="3" t="str">
        <f>HYPERLINK("https://psychiatryonline.org/doi/epdf/10.1176/appi.books.9780890426807","The American Psychiatric Association Practice Guideline on the Use of Antipsychotics to Treat Agitation or Psychosis in Patients With Dementia")</f>
        <v>The American Psychiatric Association Practice Guideline on the Use of Antipsychotics to Treat Agitation or Psychosis in Patients With Dementia</v>
      </c>
      <c r="C84" s="5" t="s">
        <v>380</v>
      </c>
      <c r="D84" s="5" t="s">
        <v>15</v>
      </c>
      <c r="E84" s="5" t="s">
        <v>18</v>
      </c>
      <c r="F84" s="3" t="s">
        <v>4327</v>
      </c>
      <c r="G84" s="5" t="s">
        <v>4328</v>
      </c>
      <c r="H84" s="15">
        <v>2</v>
      </c>
      <c r="I84" s="5" t="s">
        <v>4335</v>
      </c>
      <c r="J84" s="5"/>
    </row>
    <row r="85" spans="1:10" ht="15.9" customHeight="1">
      <c r="A85" s="15">
        <v>81</v>
      </c>
      <c r="B85" s="3" t="str">
        <f>HYPERLINK("https://www.ncbi.nlm.nih.gov/pmc/articles/PMC2474810/","The cognitive neuroscience of memory function and dysfunction in schizophrenia")</f>
        <v>The cognitive neuroscience of memory function and dysfunction in schizophrenia</v>
      </c>
      <c r="C85" s="5"/>
      <c r="D85" s="5" t="s">
        <v>15</v>
      </c>
      <c r="E85" s="5" t="s">
        <v>18</v>
      </c>
      <c r="F85" s="3" t="s">
        <v>474</v>
      </c>
      <c r="G85" s="5" t="s">
        <v>371</v>
      </c>
      <c r="H85" s="15">
        <v>1</v>
      </c>
      <c r="I85" s="5" t="s">
        <v>371</v>
      </c>
      <c r="J85" s="5"/>
    </row>
    <row r="86" spans="1:10" ht="15.9" customHeight="1">
      <c r="A86" s="15">
        <v>82</v>
      </c>
      <c r="B86" s="3" t="str">
        <f>HYPERLINK("https://www.ncbi.nlm.nih.gov/pmc/articles/PMC2483314/","The cognitive neuroscience of working memory: relevance to CNTRICS and schizophrenia")</f>
        <v>The cognitive neuroscience of working memory: relevance to CNTRICS and schizophrenia</v>
      </c>
      <c r="C86" s="5"/>
      <c r="D86" s="5" t="s">
        <v>15</v>
      </c>
      <c r="E86" s="5" t="s">
        <v>18</v>
      </c>
      <c r="F86" s="3" t="s">
        <v>475</v>
      </c>
      <c r="G86" s="5" t="s">
        <v>371</v>
      </c>
      <c r="H86" s="15">
        <v>1</v>
      </c>
      <c r="I86" s="5" t="s">
        <v>371</v>
      </c>
      <c r="J86" s="5"/>
    </row>
    <row r="87" spans="1:10" ht="15.9" customHeight="1">
      <c r="A87" s="15">
        <v>83</v>
      </c>
      <c r="B87" s="3" t="str">
        <f>HYPERLINK("https://www.ncbi.nlm.nih.gov/pmc/articles/PMC2562029/","The construct of attention in schizophrenia")</f>
        <v>The construct of attention in schizophrenia</v>
      </c>
      <c r="C87" s="5"/>
      <c r="D87" s="5" t="s">
        <v>15</v>
      </c>
      <c r="E87" s="5" t="s">
        <v>18</v>
      </c>
      <c r="F87" s="3" t="s">
        <v>476</v>
      </c>
      <c r="G87" s="5" t="s">
        <v>371</v>
      </c>
      <c r="H87" s="15">
        <v>1</v>
      </c>
      <c r="I87" s="5" t="s">
        <v>371</v>
      </c>
      <c r="J87" s="5"/>
    </row>
    <row r="88" spans="1:10" ht="15.9" customHeight="1">
      <c r="A88" s="15">
        <v>84</v>
      </c>
      <c r="B88" s="3" t="str">
        <f>HYPERLINK("https://academic.oup.com/schizophreniabulletin/article/28/1/5/1907056?login=false","The Mount Sinai conference on the pharmacotherapy of schizophrenia")</f>
        <v>The Mount Sinai conference on the pharmacotherapy of schizophrenia</v>
      </c>
      <c r="C88" s="5"/>
      <c r="D88" s="5" t="s">
        <v>15</v>
      </c>
      <c r="E88" s="5" t="s">
        <v>18</v>
      </c>
      <c r="F88" s="3" t="s">
        <v>477</v>
      </c>
      <c r="G88" s="5" t="s">
        <v>371</v>
      </c>
      <c r="H88" s="15">
        <v>1</v>
      </c>
      <c r="I88" s="5" t="s">
        <v>371</v>
      </c>
      <c r="J88" s="5"/>
    </row>
    <row r="89" spans="1:10" ht="15.9" customHeight="1">
      <c r="A89" s="15">
        <v>85</v>
      </c>
      <c r="B89" s="3" t="str">
        <f>HYPERLINK("https://www.ncbi.nlm.nih.gov/pmc/articles/PMC2632223/","The NIMH-MATRICS consensus statement on negative symptoms")</f>
        <v>The NIMH-MATRICS consensus statement on negative symptoms</v>
      </c>
      <c r="C89" s="5" t="s">
        <v>314</v>
      </c>
      <c r="D89" s="5" t="s">
        <v>15</v>
      </c>
      <c r="E89" s="5" t="s">
        <v>18</v>
      </c>
      <c r="F89" s="3" t="s">
        <v>478</v>
      </c>
      <c r="G89" s="5" t="s">
        <v>447</v>
      </c>
      <c r="H89" s="15">
        <v>1</v>
      </c>
      <c r="I89" s="5" t="s">
        <v>371</v>
      </c>
      <c r="J89" s="5"/>
    </row>
    <row r="90" spans="1:10" ht="15.9" customHeight="1">
      <c r="A90" s="15">
        <v>86</v>
      </c>
      <c r="B90" s="3" t="str">
        <f>HYPERLINK("https://www.ncbi.nlm.nih.gov/pmc/articles/PMC2800150/pdf/sbp130.pdf","The Schizophrenia Patient Outcomes Research Team (PORT): updated treatment recommendations 2009")</f>
        <v>The Schizophrenia Patient Outcomes Research Team (PORT): updated treatment recommendations 2009</v>
      </c>
      <c r="C90" s="5"/>
      <c r="D90" s="5" t="s">
        <v>15</v>
      </c>
      <c r="E90" s="5" t="s">
        <v>18</v>
      </c>
      <c r="F90" s="3" t="s">
        <v>479</v>
      </c>
      <c r="G90" s="5" t="s">
        <v>371</v>
      </c>
      <c r="H90" s="15">
        <v>1</v>
      </c>
      <c r="I90" s="5" t="s">
        <v>371</v>
      </c>
      <c r="J90" s="5"/>
    </row>
    <row r="91" spans="1:10" ht="15.9" customHeight="1">
      <c r="A91" s="15">
        <v>87</v>
      </c>
      <c r="B91" s="3" t="str">
        <f>HYPERLINK("https://pubmed.ncbi.nlm.nih.gov/23728248/","The social cognition psychometric evaluation study: results of the expert survey and RAND panel")</f>
        <v>The social cognition psychometric evaluation study: results of the expert survey and RAND panel</v>
      </c>
      <c r="C91" s="5"/>
      <c r="D91" s="5" t="s">
        <v>15</v>
      </c>
      <c r="E91" s="5" t="s">
        <v>18</v>
      </c>
      <c r="F91" s="3" t="s">
        <v>480</v>
      </c>
      <c r="G91" s="5" t="s">
        <v>371</v>
      </c>
      <c r="H91" s="15">
        <v>1</v>
      </c>
      <c r="I91" s="5" t="s">
        <v>371</v>
      </c>
      <c r="J91" s="5"/>
    </row>
    <row r="92" spans="1:10" ht="15.9" customHeight="1">
      <c r="A92" s="15">
        <v>88</v>
      </c>
      <c r="B92" s="3" t="str">
        <f>HYPERLINK("https://pubmed.ncbi.nlm.nih.gov/18549876/","The social-emotional processing stream: five core constructs and their translational potential for schizophrenia and beyond")</f>
        <v>The social-emotional processing stream: five core constructs and their translational potential for schizophrenia and beyond</v>
      </c>
      <c r="C92" s="5"/>
      <c r="D92" s="5" t="s">
        <v>15</v>
      </c>
      <c r="E92" s="5" t="s">
        <v>18</v>
      </c>
      <c r="F92" s="3" t="s">
        <v>481</v>
      </c>
      <c r="G92" s="5" t="s">
        <v>371</v>
      </c>
      <c r="H92" s="15">
        <v>1</v>
      </c>
      <c r="I92" s="5" t="s">
        <v>371</v>
      </c>
      <c r="J92" s="5"/>
    </row>
    <row r="93" spans="1:10" ht="15.9" customHeight="1">
      <c r="A93" s="15">
        <v>89</v>
      </c>
      <c r="B93" s="3" t="str">
        <f>HYPERLINK("https://www.psychiatrist.com/jcp/texas-medication-algorithm-project-antipsychotic-algorithm-schizophrenia-2006-update/","The Texas Medication Algorithm Project antipsychotic algorithm for schizophrenia: 2006 update")</f>
        <v>The Texas Medication Algorithm Project antipsychotic algorithm for schizophrenia: 2006 update</v>
      </c>
      <c r="C93" s="5" t="s">
        <v>482</v>
      </c>
      <c r="D93" s="5" t="s">
        <v>15</v>
      </c>
      <c r="E93" s="5" t="s">
        <v>18</v>
      </c>
      <c r="F93" s="3" t="s">
        <v>483</v>
      </c>
      <c r="G93" s="5" t="s">
        <v>371</v>
      </c>
      <c r="H93" s="15">
        <v>1</v>
      </c>
      <c r="I93" s="5" t="s">
        <v>371</v>
      </c>
      <c r="J93" s="5"/>
    </row>
    <row r="94" spans="1:10" ht="15.9" customHeight="1">
      <c r="A94" s="15">
        <v>90</v>
      </c>
      <c r="B94" s="3" t="str">
        <f>HYPERLINK("https://www.ncbi.nlm.nih.gov/pmc/articles/PMC2435292/","Visual perception and its impairment in schizophrenia")</f>
        <v>Visual perception and its impairment in schizophrenia</v>
      </c>
      <c r="C94" s="5"/>
      <c r="D94" s="5" t="s">
        <v>15</v>
      </c>
      <c r="E94" s="5" t="s">
        <v>18</v>
      </c>
      <c r="F94" s="3" t="s">
        <v>484</v>
      </c>
      <c r="G94" s="5" t="s">
        <v>371</v>
      </c>
      <c r="H94" s="15">
        <v>1</v>
      </c>
      <c r="I94" s="5" t="s">
        <v>371</v>
      </c>
      <c r="J94" s="5"/>
    </row>
    <row r="95" spans="1:10" ht="15.9" customHeight="1">
      <c r="A95" s="15">
        <v>91</v>
      </c>
      <c r="B95" s="3" t="str">
        <f>HYPERLINK("https://academic.oup.com/schizophreniabulletin/article/14/3/471/1865457","Workshop on schizophrenia, PET, and dopamine D2 receptors in the human neostriatum")</f>
        <v>Workshop on schizophrenia, PET, and dopamine D2 receptors in the human neostriatum</v>
      </c>
      <c r="C95" s="5"/>
      <c r="D95" s="5" t="s">
        <v>15</v>
      </c>
      <c r="E95" s="5" t="s">
        <v>18</v>
      </c>
      <c r="F95" s="3" t="s">
        <v>485</v>
      </c>
      <c r="G95" s="5" t="s">
        <v>371</v>
      </c>
      <c r="H95" s="15">
        <v>1</v>
      </c>
      <c r="I95" s="5" t="s">
        <v>371</v>
      </c>
      <c r="J95" s="5"/>
    </row>
  </sheetData>
  <autoFilter ref="A4:J95" xr:uid="{00000000-0009-0000-0000-000003000000}"/>
  <sortState xmlns:xlrd2="http://schemas.microsoft.com/office/spreadsheetml/2017/richdata2" ref="A5:J95">
    <sortCondition ref="D5:D95" customList="International,Regional,National"/>
    <sortCondition ref="E5:E95"/>
    <sortCondition ref="B5:B95"/>
  </sortState>
  <mergeCells count="2">
    <mergeCell ref="A1:J1"/>
    <mergeCell ref="A2:J3"/>
  </mergeCells>
  <hyperlinks>
    <hyperlink ref="F5" r:id="rId1" xr:uid="{00000000-0004-0000-0300-000000000000}"/>
    <hyperlink ref="F6" r:id="rId2" xr:uid="{00000000-0004-0000-0300-000001000000}"/>
    <hyperlink ref="F7" r:id="rId3" xr:uid="{00000000-0004-0000-0300-000002000000}"/>
    <hyperlink ref="F8" r:id="rId4" xr:uid="{00000000-0004-0000-0300-000003000000}"/>
    <hyperlink ref="F9" r:id="rId5" location="d1e389" xr:uid="{00000000-0004-0000-0300-000004000000}"/>
    <hyperlink ref="F12" r:id="rId6" xr:uid="{00000000-0004-0000-0300-000005000000}"/>
    <hyperlink ref="F13" r:id="rId7" location="abstract" xr:uid="{00000000-0004-0000-0300-000006000000}"/>
    <hyperlink ref="F22" r:id="rId8" xr:uid="{00000000-0004-0000-0300-000007000000}"/>
    <hyperlink ref="F23" r:id="rId9" xr:uid="{00000000-0004-0000-0300-000008000000}"/>
    <hyperlink ref="F24" r:id="rId10" xr:uid="{00000000-0004-0000-0300-000009000000}"/>
    <hyperlink ref="F25" r:id="rId11" xr:uid="{00000000-0004-0000-0300-00000A000000}"/>
    <hyperlink ref="F26" r:id="rId12" xr:uid="{00000000-0004-0000-0300-00000B000000}"/>
    <hyperlink ref="F27" r:id="rId13" xr:uid="{00000000-0004-0000-0300-00000C000000}"/>
    <hyperlink ref="F28" r:id="rId14" xr:uid="{00000000-0004-0000-0300-00000D000000}"/>
    <hyperlink ref="F29" r:id="rId15" xr:uid="{00000000-0004-0000-0300-00000E000000}"/>
    <hyperlink ref="F30" r:id="rId16" xr:uid="{00000000-0004-0000-0300-00000F000000}"/>
    <hyperlink ref="F31" r:id="rId17" xr:uid="{00000000-0004-0000-0300-000010000000}"/>
    <hyperlink ref="F32" r:id="rId18" xr:uid="{00000000-0004-0000-0300-000011000000}"/>
    <hyperlink ref="F33" r:id="rId19" xr:uid="{00000000-0004-0000-0300-000012000000}"/>
    <hyperlink ref="F34" r:id="rId20" xr:uid="{00000000-0004-0000-0300-000013000000}"/>
    <hyperlink ref="F35" r:id="rId21" xr:uid="{00000000-0004-0000-0300-000014000000}"/>
    <hyperlink ref="F36" r:id="rId22" xr:uid="{00000000-0004-0000-0300-000015000000}"/>
    <hyperlink ref="F37" r:id="rId23" xr:uid="{00000000-0004-0000-0300-000016000000}"/>
    <hyperlink ref="F38" r:id="rId24" xr:uid="{00000000-0004-0000-0300-000017000000}"/>
    <hyperlink ref="F39" r:id="rId25" xr:uid="{00000000-0004-0000-0300-000018000000}"/>
    <hyperlink ref="F40" r:id="rId26" xr:uid="{00000000-0004-0000-0300-000019000000}"/>
    <hyperlink ref="F41" r:id="rId27" xr:uid="{00000000-0004-0000-0300-00001A000000}"/>
    <hyperlink ref="F42" r:id="rId28" xr:uid="{00000000-0004-0000-0300-00001B000000}"/>
    <hyperlink ref="F43" r:id="rId29" xr:uid="{00000000-0004-0000-0300-00001C000000}"/>
    <hyperlink ref="F44" r:id="rId30" xr:uid="{00000000-0004-0000-0300-00001D000000}"/>
    <hyperlink ref="F45" r:id="rId31" xr:uid="{00000000-0004-0000-0300-00001E000000}"/>
    <hyperlink ref="F46" r:id="rId32" xr:uid="{00000000-0004-0000-0300-00001F000000}"/>
    <hyperlink ref="F47" r:id="rId33" xr:uid="{00000000-0004-0000-0300-000020000000}"/>
    <hyperlink ref="F48" r:id="rId34" xr:uid="{00000000-0004-0000-0300-000021000000}"/>
    <hyperlink ref="F49" r:id="rId35" xr:uid="{00000000-0004-0000-0300-000022000000}"/>
    <hyperlink ref="F50" r:id="rId36" xr:uid="{00000000-0004-0000-0300-000023000000}"/>
    <hyperlink ref="F51" r:id="rId37" xr:uid="{00000000-0004-0000-0300-000024000000}"/>
    <hyperlink ref="F52" r:id="rId38" xr:uid="{00000000-0004-0000-0300-000025000000}"/>
    <hyperlink ref="F54" r:id="rId39" xr:uid="{00000000-0004-0000-0300-000026000000}"/>
    <hyperlink ref="F55" r:id="rId40" xr:uid="{00000000-0004-0000-0300-000027000000}"/>
    <hyperlink ref="F56" r:id="rId41" xr:uid="{00000000-0004-0000-0300-000028000000}"/>
    <hyperlink ref="F57" r:id="rId42" xr:uid="{00000000-0004-0000-0300-000029000000}"/>
    <hyperlink ref="F58" r:id="rId43" xr:uid="{00000000-0004-0000-0300-00002A000000}"/>
    <hyperlink ref="F59" r:id="rId44" xr:uid="{00000000-0004-0000-0300-00002B000000}"/>
    <hyperlink ref="F60" r:id="rId45" xr:uid="{00000000-0004-0000-0300-00002C000000}"/>
    <hyperlink ref="F61" r:id="rId46" xr:uid="{00000000-0004-0000-0300-00002D000000}"/>
    <hyperlink ref="F62" r:id="rId47" xr:uid="{00000000-0004-0000-0300-00002E000000}"/>
    <hyperlink ref="F63" r:id="rId48" xr:uid="{00000000-0004-0000-0300-00002F000000}"/>
    <hyperlink ref="F64" r:id="rId49" xr:uid="{00000000-0004-0000-0300-000030000000}"/>
    <hyperlink ref="F65" r:id="rId50" xr:uid="{00000000-0004-0000-0300-000031000000}"/>
    <hyperlink ref="F66" r:id="rId51" xr:uid="{00000000-0004-0000-0300-000032000000}"/>
    <hyperlink ref="F67" r:id="rId52" xr:uid="{00000000-0004-0000-0300-000033000000}"/>
    <hyperlink ref="F68" r:id="rId53" xr:uid="{00000000-0004-0000-0300-000034000000}"/>
    <hyperlink ref="F69" r:id="rId54" xr:uid="{00000000-0004-0000-0300-000035000000}"/>
    <hyperlink ref="F70" r:id="rId55" xr:uid="{00000000-0004-0000-0300-000036000000}"/>
    <hyperlink ref="F71" r:id="rId56" xr:uid="{00000000-0004-0000-0300-000037000000}"/>
    <hyperlink ref="F72" r:id="rId57" xr:uid="{00000000-0004-0000-0300-000038000000}"/>
    <hyperlink ref="F73" r:id="rId58" xr:uid="{00000000-0004-0000-0300-000039000000}"/>
    <hyperlink ref="F74" r:id="rId59" xr:uid="{00000000-0004-0000-0300-00003A000000}"/>
    <hyperlink ref="F75" r:id="rId60" xr:uid="{00000000-0004-0000-0300-00003B000000}"/>
    <hyperlink ref="F76" r:id="rId61" xr:uid="{00000000-0004-0000-0300-00003C000000}"/>
    <hyperlink ref="F77" r:id="rId62" xr:uid="{00000000-0004-0000-0300-00003D000000}"/>
    <hyperlink ref="F78" r:id="rId63" xr:uid="{00000000-0004-0000-0300-00003E000000}"/>
    <hyperlink ref="F79" r:id="rId64" xr:uid="{00000000-0004-0000-0300-00003F000000}"/>
    <hyperlink ref="F80" r:id="rId65" xr:uid="{00000000-0004-0000-0300-000040000000}"/>
    <hyperlink ref="F81" r:id="rId66" xr:uid="{00000000-0004-0000-0300-000041000000}"/>
    <hyperlink ref="F82" r:id="rId67" xr:uid="{00000000-0004-0000-0300-000042000000}"/>
    <hyperlink ref="F85" r:id="rId68" xr:uid="{00000000-0004-0000-0300-000043000000}"/>
    <hyperlink ref="F86" r:id="rId69" xr:uid="{00000000-0004-0000-0300-000044000000}"/>
    <hyperlink ref="F87" r:id="rId70" xr:uid="{00000000-0004-0000-0300-000045000000}"/>
    <hyperlink ref="F88" r:id="rId71" xr:uid="{00000000-0004-0000-0300-000046000000}"/>
    <hyperlink ref="F89" r:id="rId72" xr:uid="{00000000-0004-0000-0300-000047000000}"/>
    <hyperlink ref="F90" r:id="rId73" xr:uid="{00000000-0004-0000-0300-000048000000}"/>
    <hyperlink ref="F91" r:id="rId74" xr:uid="{00000000-0004-0000-0300-000049000000}"/>
    <hyperlink ref="F92" r:id="rId75" xr:uid="{00000000-0004-0000-0300-00004A000000}"/>
    <hyperlink ref="F93" r:id="rId76" xr:uid="{00000000-0004-0000-0300-00004B000000}"/>
    <hyperlink ref="F94" r:id="rId77" xr:uid="{00000000-0004-0000-0300-00004C000000}"/>
    <hyperlink ref="F95" r:id="rId78" xr:uid="{00000000-0004-0000-0300-00004D000000}"/>
    <hyperlink ref="F14" r:id="rId79" xr:uid="{00000000-0004-0000-0300-00004E000000}"/>
    <hyperlink ref="F15" r:id="rId80" xr:uid="{00000000-0004-0000-0300-00004F000000}"/>
    <hyperlink ref="F16" r:id="rId81" xr:uid="{00000000-0004-0000-0300-000050000000}"/>
    <hyperlink ref="F17" r:id="rId82" xr:uid="{00000000-0004-0000-0300-000051000000}"/>
    <hyperlink ref="F18" r:id="rId83" xr:uid="{00000000-0004-0000-0300-000052000000}"/>
    <hyperlink ref="F19" r:id="rId84" xr:uid="{00000000-0004-0000-0300-000053000000}"/>
    <hyperlink ref="F20" r:id="rId85" xr:uid="{00000000-0004-0000-0300-000054000000}"/>
    <hyperlink ref="F84" r:id="rId86" xr:uid="{00000000-0004-0000-0300-000055000000}"/>
    <hyperlink ref="F21" r:id="rId87" xr:uid="{00000000-0004-0000-0300-000056000000}"/>
    <hyperlink ref="F10" r:id="rId88" xr:uid="{00000000-0004-0000-0300-000057000000}"/>
    <hyperlink ref="F11" r:id="rId89" xr:uid="{00000000-0004-0000-0300-000058000000}"/>
    <hyperlink ref="F53" r:id="rId90" xr:uid="{00000000-0004-0000-0300-000059000000}"/>
    <hyperlink ref="F83" r:id="rId91" xr:uid="{00000000-0004-0000-0300-00005A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outlinePr summaryBelow="0" summaryRight="0"/>
  </sheetPr>
  <dimension ref="A1:J104"/>
  <sheetViews>
    <sheetView showGridLines="0" workbookViewId="0">
      <pane xSplit="2" ySplit="4" topLeftCell="C5" activePane="bottomRight" state="frozen"/>
      <selection pane="topRight"/>
      <selection pane="bottomLeft"/>
      <selection pane="bottomRight" activeCell="A4" sqref="A4:XFD4"/>
    </sheetView>
  </sheetViews>
  <sheetFormatPr defaultColWidth="9" defaultRowHeight="15" customHeight="1"/>
  <cols>
    <col min="1" max="1" width="6.109375" customWidth="1"/>
    <col min="2" max="2" width="70.88671875" customWidth="1"/>
    <col min="3" max="4" width="15.88671875" customWidth="1"/>
    <col min="5" max="5" width="21.109375" customWidth="1"/>
    <col min="6" max="6" width="27" customWidth="1"/>
    <col min="7" max="8" width="15.5546875" customWidth="1"/>
    <col min="9" max="9" width="45.88671875" customWidth="1"/>
  </cols>
  <sheetData>
    <row r="1" spans="1:10" ht="25.35" customHeight="1">
      <c r="A1" s="63" t="s">
        <v>0</v>
      </c>
      <c r="B1" s="63"/>
      <c r="C1" s="63"/>
      <c r="D1" s="63"/>
      <c r="E1" s="63"/>
      <c r="F1" s="63"/>
      <c r="G1" s="63"/>
      <c r="H1" s="63"/>
      <c r="I1" s="63"/>
    </row>
    <row r="2" spans="1:10" ht="15" customHeight="1">
      <c r="A2" s="64" t="s">
        <v>72</v>
      </c>
      <c r="B2" s="65"/>
      <c r="C2" s="65"/>
      <c r="D2" s="65"/>
      <c r="E2" s="65"/>
      <c r="F2" s="65"/>
      <c r="G2" s="65"/>
      <c r="H2" s="65"/>
      <c r="I2" s="65"/>
    </row>
    <row r="3" spans="1:10" ht="15" customHeight="1">
      <c r="A3" s="65"/>
      <c r="B3" s="65"/>
      <c r="C3" s="65"/>
      <c r="D3" s="65"/>
      <c r="E3" s="65"/>
      <c r="F3" s="65"/>
      <c r="G3" s="65"/>
      <c r="H3" s="65"/>
      <c r="I3" s="65"/>
    </row>
    <row r="4" spans="1:10" ht="28.5" customHeight="1">
      <c r="A4" s="9" t="s">
        <v>2</v>
      </c>
      <c r="B4" s="12" t="s">
        <v>4923</v>
      </c>
      <c r="C4" s="9" t="s">
        <v>12</v>
      </c>
      <c r="D4" s="9" t="s">
        <v>13</v>
      </c>
      <c r="E4" s="12" t="s">
        <v>23</v>
      </c>
      <c r="F4" s="9" t="s">
        <v>5</v>
      </c>
      <c r="G4" s="9" t="s">
        <v>549</v>
      </c>
      <c r="H4" s="9" t="s">
        <v>4463</v>
      </c>
      <c r="I4" s="12" t="s">
        <v>6</v>
      </c>
      <c r="J4" s="9" t="s">
        <v>2</v>
      </c>
    </row>
    <row r="5" spans="1:10" ht="15.9" customHeight="1">
      <c r="A5" s="4">
        <v>1</v>
      </c>
      <c r="B5" s="3" t="str">
        <f>HYPERLINK("https://www.alzint.org/","Alzheimer's Disease International")</f>
        <v>Alzheimer's Disease International</v>
      </c>
      <c r="C5" s="5" t="s">
        <v>14</v>
      </c>
      <c r="D5" s="5" t="s">
        <v>14</v>
      </c>
      <c r="E5" s="5" t="s">
        <v>18</v>
      </c>
      <c r="F5" s="3" t="s">
        <v>4373</v>
      </c>
      <c r="G5" s="15">
        <v>6</v>
      </c>
      <c r="H5" s="5" t="s">
        <v>4335</v>
      </c>
      <c r="I5" s="5"/>
      <c r="J5" s="4">
        <v>1</v>
      </c>
    </row>
    <row r="6" spans="1:10" ht="15.9" customHeight="1">
      <c r="A6" s="4">
        <v>2</v>
      </c>
      <c r="B6" s="3" t="str">
        <f>HYPERLINK("https://carersworldwide.org/","Carers Worldwide")</f>
        <v>Carers Worldwide</v>
      </c>
      <c r="C6" s="5" t="s">
        <v>14</v>
      </c>
      <c r="D6" s="5" t="s">
        <v>14</v>
      </c>
      <c r="E6" s="5" t="s">
        <v>17</v>
      </c>
      <c r="F6" s="3" t="s">
        <v>4409</v>
      </c>
      <c r="G6" s="15">
        <v>10</v>
      </c>
      <c r="H6" s="5" t="s">
        <v>4925</v>
      </c>
      <c r="I6" s="5"/>
      <c r="J6" s="4">
        <v>2</v>
      </c>
    </row>
    <row r="7" spans="1:10" ht="15.9" customHeight="1">
      <c r="A7" s="4">
        <v>3</v>
      </c>
      <c r="B7" s="3" t="str">
        <f>HYPERLINK("https://curealz.org/","Cure Alzheimer’s Fund")</f>
        <v>Cure Alzheimer’s Fund</v>
      </c>
      <c r="C7" s="5" t="s">
        <v>14</v>
      </c>
      <c r="D7" s="5" t="s">
        <v>14</v>
      </c>
      <c r="E7" s="5" t="s">
        <v>18</v>
      </c>
      <c r="F7" s="3" t="s">
        <v>4388</v>
      </c>
      <c r="G7" s="15">
        <v>6</v>
      </c>
      <c r="H7" s="5" t="s">
        <v>4335</v>
      </c>
      <c r="I7" s="5"/>
      <c r="J7" s="4">
        <v>3</v>
      </c>
    </row>
    <row r="8" spans="1:10" ht="15.9" customHeight="1">
      <c r="A8" s="4">
        <v>4</v>
      </c>
      <c r="B8" s="3" t="str">
        <f>HYPERLINK("https://internationalcarers.org/","International Alliance of Carer Organizations")</f>
        <v>International Alliance of Carer Organizations</v>
      </c>
      <c r="C8" s="5" t="s">
        <v>14</v>
      </c>
      <c r="D8" s="5" t="s">
        <v>14</v>
      </c>
      <c r="E8" s="5" t="s">
        <v>18</v>
      </c>
      <c r="F8" s="3" t="s">
        <v>4410</v>
      </c>
      <c r="G8" s="15">
        <v>10</v>
      </c>
      <c r="H8" s="5" t="s">
        <v>4925</v>
      </c>
      <c r="I8" s="5"/>
      <c r="J8" s="4">
        <v>4</v>
      </c>
    </row>
    <row r="9" spans="1:10" ht="15.9" customHeight="1">
      <c r="A9" s="4">
        <v>5</v>
      </c>
      <c r="B9" s="3" t="str">
        <f>HYPERLINK("https://www.alzheimer-europe.org/","Alzheimer Europe")</f>
        <v>Alzheimer Europe</v>
      </c>
      <c r="C9" s="5" t="s">
        <v>321</v>
      </c>
      <c r="D9" s="5" t="s">
        <v>322</v>
      </c>
      <c r="E9" s="5" t="s">
        <v>4380</v>
      </c>
      <c r="F9" s="3" t="s">
        <v>4381</v>
      </c>
      <c r="G9" s="15">
        <v>6</v>
      </c>
      <c r="H9" s="5" t="s">
        <v>4335</v>
      </c>
      <c r="I9" s="5"/>
      <c r="J9" s="4">
        <v>5</v>
      </c>
    </row>
    <row r="10" spans="1:10" ht="15.9" customHeight="1">
      <c r="A10" s="4">
        <v>6</v>
      </c>
      <c r="B10" s="3" t="str">
        <f>HYPERLINK("https://eurocarers.org/","Eurocarers")</f>
        <v>Eurocarers</v>
      </c>
      <c r="C10" s="5" t="s">
        <v>321</v>
      </c>
      <c r="D10" s="5" t="s">
        <v>322</v>
      </c>
      <c r="E10" s="5" t="s">
        <v>25</v>
      </c>
      <c r="F10" s="3" t="s">
        <v>4411</v>
      </c>
      <c r="G10" s="15">
        <v>10</v>
      </c>
      <c r="H10" s="5" t="s">
        <v>4925</v>
      </c>
      <c r="I10" s="5"/>
      <c r="J10" s="4">
        <v>6</v>
      </c>
    </row>
    <row r="11" spans="1:10" ht="15.9" customHeight="1">
      <c r="A11" s="4">
        <v>7</v>
      </c>
      <c r="B11" s="3" t="str">
        <f>HYPERLINK("https://www.eufami.org/","European Federation of Associations of Families of People with Mental Illness")</f>
        <v>European Federation of Associations of Families of People with Mental Illness</v>
      </c>
      <c r="C11" s="5" t="s">
        <v>321</v>
      </c>
      <c r="D11" s="5" t="s">
        <v>322</v>
      </c>
      <c r="E11" s="5" t="s">
        <v>25</v>
      </c>
      <c r="F11" s="3" t="s">
        <v>525</v>
      </c>
      <c r="G11" s="15">
        <v>4</v>
      </c>
      <c r="H11" s="5" t="s">
        <v>4925</v>
      </c>
      <c r="I11" s="5"/>
      <c r="J11" s="4">
        <v>7</v>
      </c>
    </row>
    <row r="12" spans="1:10" ht="15.9" customHeight="1">
      <c r="A12" s="4">
        <v>8</v>
      </c>
      <c r="B12" s="3" t="str">
        <f>HYPERLINK("https://alzheimer.ca/en","Alzheimer Society of Canada")</f>
        <v>Alzheimer Society of Canada</v>
      </c>
      <c r="C12" s="5" t="s">
        <v>15</v>
      </c>
      <c r="D12" s="5" t="s">
        <v>24</v>
      </c>
      <c r="E12" s="5" t="s">
        <v>24</v>
      </c>
      <c r="F12" s="3" t="s">
        <v>4378</v>
      </c>
      <c r="G12" s="15">
        <v>6</v>
      </c>
      <c r="H12" s="5" t="s">
        <v>4335</v>
      </c>
      <c r="I12" s="5"/>
      <c r="J12" s="4">
        <v>8</v>
      </c>
    </row>
    <row r="13" spans="1:10" ht="15.9" customHeight="1">
      <c r="A13" s="4">
        <v>9</v>
      </c>
      <c r="B13" s="3" t="str">
        <f>HYPERLINK("https://braincanada.ca/","Brain Canada Foundation")</f>
        <v>Brain Canada Foundation</v>
      </c>
      <c r="C13" s="5" t="s">
        <v>15</v>
      </c>
      <c r="D13" s="5" t="s">
        <v>24</v>
      </c>
      <c r="E13" s="5" t="s">
        <v>24</v>
      </c>
      <c r="F13" s="3" t="s">
        <v>497</v>
      </c>
      <c r="G13" s="15">
        <v>8</v>
      </c>
      <c r="H13" s="5" t="s">
        <v>4925</v>
      </c>
      <c r="I13" s="5"/>
      <c r="J13" s="4">
        <v>9</v>
      </c>
    </row>
    <row r="14" spans="1:10" ht="15.9" customHeight="1">
      <c r="A14" s="4">
        <v>10</v>
      </c>
      <c r="B14" s="3" t="str">
        <f>HYPERLINK("https://www.carerscanada.ca/","Carers Canada")</f>
        <v>Carers Canada</v>
      </c>
      <c r="C14" s="5" t="s">
        <v>15</v>
      </c>
      <c r="D14" s="5" t="s">
        <v>24</v>
      </c>
      <c r="E14" s="5" t="s">
        <v>24</v>
      </c>
      <c r="F14" s="3" t="s">
        <v>4412</v>
      </c>
      <c r="G14" s="15">
        <v>10</v>
      </c>
      <c r="H14" s="5" t="s">
        <v>4925</v>
      </c>
      <c r="I14" s="5"/>
      <c r="J14" s="4">
        <v>10</v>
      </c>
    </row>
    <row r="15" spans="1:10" ht="15.9" customHeight="1">
      <c r="A15" s="4">
        <v>11</v>
      </c>
      <c r="B15" s="3" t="str">
        <f>HYPERLINK("https://www.hope4mentalhealth.ca/","Hope For Mental Health Society")</f>
        <v>Hope For Mental Health Society</v>
      </c>
      <c r="C15" s="5" t="s">
        <v>15</v>
      </c>
      <c r="D15" s="5" t="s">
        <v>24</v>
      </c>
      <c r="E15" s="5" t="s">
        <v>24</v>
      </c>
      <c r="F15" s="3" t="s">
        <v>498</v>
      </c>
      <c r="G15" s="15">
        <v>4</v>
      </c>
      <c r="H15" s="5" t="s">
        <v>4925</v>
      </c>
      <c r="I15" s="5"/>
      <c r="J15" s="4">
        <v>11</v>
      </c>
    </row>
    <row r="16" spans="1:10" ht="15.9" customHeight="1">
      <c r="A16" s="4">
        <v>12</v>
      </c>
      <c r="B16" s="3" t="str">
        <f>HYPERLINK("https://www.mhrc.ca/","Mental Health Research Canada")</f>
        <v>Mental Health Research Canada</v>
      </c>
      <c r="C16" s="5" t="s">
        <v>15</v>
      </c>
      <c r="D16" s="5" t="s">
        <v>24</v>
      </c>
      <c r="E16" s="5" t="s">
        <v>24</v>
      </c>
      <c r="F16" s="3" t="s">
        <v>499</v>
      </c>
      <c r="G16" s="15">
        <v>4</v>
      </c>
      <c r="H16" s="5" t="s">
        <v>4925</v>
      </c>
      <c r="I16" s="5"/>
      <c r="J16" s="4">
        <v>12</v>
      </c>
    </row>
    <row r="17" spans="1:10" ht="15.9" customHeight="1">
      <c r="A17" s="4">
        <v>13</v>
      </c>
      <c r="B17" s="3" t="str">
        <f>HYPERLINK("https://schizophrenia.ca/","Schizophrenia Society of Canada")</f>
        <v>Schizophrenia Society of Canada</v>
      </c>
      <c r="C17" s="5" t="s">
        <v>15</v>
      </c>
      <c r="D17" s="5" t="s">
        <v>24</v>
      </c>
      <c r="E17" s="5" t="s">
        <v>24</v>
      </c>
      <c r="F17" s="3" t="s">
        <v>500</v>
      </c>
      <c r="G17" s="15">
        <v>1</v>
      </c>
      <c r="H17" s="5" t="s">
        <v>371</v>
      </c>
      <c r="I17" s="5"/>
      <c r="J17" s="4">
        <v>13</v>
      </c>
    </row>
    <row r="18" spans="1:10" ht="15.9" customHeight="1">
      <c r="A18" s="4">
        <v>14</v>
      </c>
      <c r="B18" s="3" t="str">
        <f>HYPERLINK("https://www.camh.ca/","The Centre for Addiction and Mental Health")</f>
        <v>The Centre for Addiction and Mental Health</v>
      </c>
      <c r="C18" s="5" t="s">
        <v>15</v>
      </c>
      <c r="D18" s="5" t="s">
        <v>24</v>
      </c>
      <c r="E18" s="5" t="s">
        <v>24</v>
      </c>
      <c r="F18" s="3" t="s">
        <v>496</v>
      </c>
      <c r="G18" s="15">
        <v>4</v>
      </c>
      <c r="H18" s="5" t="s">
        <v>4925</v>
      </c>
      <c r="I18" s="5"/>
      <c r="J18" s="4">
        <v>14</v>
      </c>
    </row>
    <row r="19" spans="1:10" ht="15.9" customHeight="1">
      <c r="A19" s="4">
        <v>15</v>
      </c>
      <c r="B19" s="3" t="str">
        <f>HYPERLINK("https://www.mhafoc.com/","The Mental Health Awareness Foundation of Canada")</f>
        <v>The Mental Health Awareness Foundation of Canada</v>
      </c>
      <c r="C19" s="5" t="s">
        <v>15</v>
      </c>
      <c r="D19" s="5" t="s">
        <v>24</v>
      </c>
      <c r="E19" s="5" t="s">
        <v>24</v>
      </c>
      <c r="F19" s="3" t="s">
        <v>501</v>
      </c>
      <c r="G19" s="15">
        <v>4</v>
      </c>
      <c r="H19" s="5" t="s">
        <v>4925</v>
      </c>
      <c r="I19" s="5"/>
      <c r="J19" s="4">
        <v>15</v>
      </c>
    </row>
    <row r="20" spans="1:10" ht="15.9" customHeight="1">
      <c r="A20" s="4">
        <v>16</v>
      </c>
      <c r="B20" s="3" t="str">
        <f>HYPERLINK("https://www.fondation-alzheimer.org/","Alzheimer Foundation")</f>
        <v>Alzheimer Foundation</v>
      </c>
      <c r="C20" s="5" t="s">
        <v>15</v>
      </c>
      <c r="D20" s="5" t="s">
        <v>292</v>
      </c>
      <c r="E20" s="5" t="s">
        <v>292</v>
      </c>
      <c r="F20" s="3" t="s">
        <v>4400</v>
      </c>
      <c r="G20" s="15">
        <v>6</v>
      </c>
      <c r="H20" s="5" t="s">
        <v>4335</v>
      </c>
      <c r="I20" s="5"/>
      <c r="J20" s="4">
        <v>16</v>
      </c>
    </row>
    <row r="21" spans="1:10" ht="15.9" customHeight="1">
      <c r="A21" s="4">
        <v>17</v>
      </c>
      <c r="B21" s="3" t="str">
        <f>HYPERLINK("https://alzheimer-recherche.org/","Alzheimer Research Foundation")</f>
        <v>Alzheimer Research Foundation</v>
      </c>
      <c r="C21" s="5" t="s">
        <v>15</v>
      </c>
      <c r="D21" s="5" t="s">
        <v>292</v>
      </c>
      <c r="E21" s="5" t="s">
        <v>292</v>
      </c>
      <c r="F21" s="3" t="s">
        <v>4399</v>
      </c>
      <c r="G21" s="15">
        <v>6</v>
      </c>
      <c r="H21" s="5" t="s">
        <v>4335</v>
      </c>
      <c r="I21" s="5"/>
      <c r="J21" s="4">
        <v>17</v>
      </c>
    </row>
    <row r="22" spans="1:10" ht="15.9" customHeight="1">
      <c r="A22" s="4">
        <v>18</v>
      </c>
      <c r="B22" s="3" t="str">
        <f>HYPERLINK("https://www.promesses-sz.fr/","Association PromesseS")</f>
        <v>Association PromesseS</v>
      </c>
      <c r="C22" s="5" t="s">
        <v>15</v>
      </c>
      <c r="D22" s="5" t="s">
        <v>292</v>
      </c>
      <c r="E22" s="5" t="s">
        <v>292</v>
      </c>
      <c r="F22" s="3" t="s">
        <v>537</v>
      </c>
      <c r="G22" s="15">
        <v>1</v>
      </c>
      <c r="H22" s="5" t="s">
        <v>371</v>
      </c>
      <c r="I22" s="5"/>
      <c r="J22" s="4">
        <v>18</v>
      </c>
    </row>
    <row r="23" spans="1:10" ht="15.9" customHeight="1">
      <c r="A23" s="4">
        <v>19</v>
      </c>
      <c r="B23" s="3" t="str">
        <f>HYPERLINK("https://www.francealzheimer.org/","France Alzheimer")</f>
        <v>France Alzheimer</v>
      </c>
      <c r="C23" s="5" t="s">
        <v>15</v>
      </c>
      <c r="D23" s="5" t="s">
        <v>292</v>
      </c>
      <c r="E23" s="5" t="s">
        <v>292</v>
      </c>
      <c r="F23" s="3" t="s">
        <v>4379</v>
      </c>
      <c r="G23" s="15">
        <v>6</v>
      </c>
      <c r="H23" s="5" t="s">
        <v>4335</v>
      </c>
      <c r="I23" s="5"/>
      <c r="J23" s="4">
        <v>19</v>
      </c>
    </row>
    <row r="24" spans="1:10" ht="15.9" customHeight="1">
      <c r="A24" s="4">
        <v>20</v>
      </c>
      <c r="B24" s="3" t="str">
        <f>HYPERLINK("https://www.aidants.fr/","French Association of Carers")</f>
        <v>French Association of Carers</v>
      </c>
      <c r="C24" s="5" t="s">
        <v>15</v>
      </c>
      <c r="D24" s="5" t="s">
        <v>292</v>
      </c>
      <c r="E24" s="5" t="s">
        <v>292</v>
      </c>
      <c r="F24" s="3" t="s">
        <v>4413</v>
      </c>
      <c r="G24" s="15">
        <v>10</v>
      </c>
      <c r="H24" s="5" t="s">
        <v>4925</v>
      </c>
      <c r="I24" s="5"/>
      <c r="J24" s="4">
        <v>20</v>
      </c>
    </row>
    <row r="25" spans="1:10" ht="15.9" customHeight="1">
      <c r="A25" s="4">
        <v>21</v>
      </c>
      <c r="B25" s="3" t="str">
        <f>HYPERLINK("https://www.ma-schizophrenie.com/","Ma-Schizophrénie.com")</f>
        <v>Ma-Schizophrénie.com</v>
      </c>
      <c r="C25" s="5" t="s">
        <v>15</v>
      </c>
      <c r="D25" s="5" t="s">
        <v>292</v>
      </c>
      <c r="E25" s="5" t="s">
        <v>292</v>
      </c>
      <c r="F25" s="3" t="s">
        <v>538</v>
      </c>
      <c r="G25" s="15">
        <v>1</v>
      </c>
      <c r="H25" s="5" t="s">
        <v>371</v>
      </c>
      <c r="I25" s="5"/>
      <c r="J25" s="4">
        <v>21</v>
      </c>
    </row>
    <row r="26" spans="1:10" ht="15.9" customHeight="1">
      <c r="A26" s="4">
        <v>22</v>
      </c>
      <c r="B26" s="3" t="str">
        <f>HYPERLINK("https://www.fondation-mederic-alzheimer.org/","Médéric Alzheimer Foundation")</f>
        <v>Médéric Alzheimer Foundation</v>
      </c>
      <c r="C26" s="5" t="s">
        <v>15</v>
      </c>
      <c r="D26" s="5" t="s">
        <v>292</v>
      </c>
      <c r="E26" s="5" t="s">
        <v>292</v>
      </c>
      <c r="F26" s="3" t="s">
        <v>4398</v>
      </c>
      <c r="G26" s="15">
        <v>6</v>
      </c>
      <c r="H26" s="5" t="s">
        <v>4335</v>
      </c>
      <c r="I26" s="5"/>
      <c r="J26" s="4">
        <v>22</v>
      </c>
    </row>
    <row r="27" spans="1:10" ht="15.9" customHeight="1">
      <c r="A27" s="4">
        <v>23</v>
      </c>
      <c r="B27" s="3" t="str">
        <f>HYPERLINK("https://www.fnapsy.org/","National Federation of Patients in Psychiatry (FNAPSY)")</f>
        <v>National Federation of Patients in Psychiatry (FNAPSY)</v>
      </c>
      <c r="C27" s="5" t="s">
        <v>15</v>
      </c>
      <c r="D27" s="5" t="s">
        <v>292</v>
      </c>
      <c r="E27" s="5" t="s">
        <v>292</v>
      </c>
      <c r="F27" s="3" t="s">
        <v>540</v>
      </c>
      <c r="G27" s="15">
        <v>4</v>
      </c>
      <c r="H27" s="5" t="s">
        <v>4925</v>
      </c>
      <c r="I27" s="5"/>
      <c r="J27" s="4">
        <v>23</v>
      </c>
    </row>
    <row r="28" spans="1:10" ht="15.9" customHeight="1">
      <c r="A28" s="4">
        <v>24</v>
      </c>
      <c r="B28" s="3" t="str">
        <f>HYPERLINK("https://www.unafam.org/","National Union of Families and Friends of Mentally Ill and/or Disabled People (UNAFAM)")</f>
        <v>National Union of Families and Friends of Mentally Ill and/or Disabled People (UNAFAM)</v>
      </c>
      <c r="C28" s="5" t="s">
        <v>15</v>
      </c>
      <c r="D28" s="5" t="s">
        <v>292</v>
      </c>
      <c r="E28" s="5" t="s">
        <v>292</v>
      </c>
      <c r="F28" s="3" t="s">
        <v>530</v>
      </c>
      <c r="G28" s="15">
        <v>4</v>
      </c>
      <c r="H28" s="5" t="s">
        <v>4925</v>
      </c>
      <c r="I28" s="5"/>
      <c r="J28" s="4">
        <v>24</v>
      </c>
    </row>
    <row r="29" spans="1:10" ht="15.9" customHeight="1">
      <c r="A29" s="4">
        <v>25</v>
      </c>
      <c r="B29" s="3" t="str">
        <f>HYPERLINK("https://positiveminders.com/","PositiveMinders")</f>
        <v>PositiveMinders</v>
      </c>
      <c r="C29" s="5" t="s">
        <v>15</v>
      </c>
      <c r="D29" s="5" t="s">
        <v>292</v>
      </c>
      <c r="E29" s="5" t="s">
        <v>292</v>
      </c>
      <c r="F29" s="3" t="s">
        <v>536</v>
      </c>
      <c r="G29" s="15">
        <v>4</v>
      </c>
      <c r="H29" s="5" t="s">
        <v>4925</v>
      </c>
      <c r="I29" s="5"/>
      <c r="J29" s="4">
        <v>25</v>
      </c>
    </row>
    <row r="30" spans="1:10" ht="15.9" customHeight="1">
      <c r="A30" s="4">
        <v>26</v>
      </c>
      <c r="B30" s="3" t="str">
        <f>HYPERLINK("https://prepsy.fr/","Prépsy")</f>
        <v>Prépsy</v>
      </c>
      <c r="C30" s="5" t="s">
        <v>15</v>
      </c>
      <c r="D30" s="5" t="s">
        <v>292</v>
      </c>
      <c r="E30" s="5" t="s">
        <v>292</v>
      </c>
      <c r="F30" s="3" t="s">
        <v>545</v>
      </c>
      <c r="G30" s="15">
        <v>4</v>
      </c>
      <c r="H30" s="5" t="s">
        <v>4925</v>
      </c>
      <c r="I30" s="5"/>
      <c r="J30" s="4">
        <v>26</v>
      </c>
    </row>
    <row r="31" spans="1:10" ht="15.9" customHeight="1">
      <c r="A31" s="4">
        <v>27</v>
      </c>
      <c r="B31" s="3" t="str">
        <f>HYPERLINK("https://profamille.site/","ProFamille")</f>
        <v>ProFamille</v>
      </c>
      <c r="C31" s="5" t="s">
        <v>15</v>
      </c>
      <c r="D31" s="5" t="s">
        <v>292</v>
      </c>
      <c r="E31" s="5" t="s">
        <v>292</v>
      </c>
      <c r="F31" s="3" t="s">
        <v>533</v>
      </c>
      <c r="G31" s="15">
        <v>1</v>
      </c>
      <c r="H31" s="5" t="s">
        <v>371</v>
      </c>
      <c r="I31" s="5"/>
      <c r="J31" s="4">
        <v>27</v>
      </c>
    </row>
    <row r="32" spans="1:10" ht="15.9" customHeight="1">
      <c r="A32" s="4">
        <v>28</v>
      </c>
      <c r="B32" s="3" t="str">
        <f>HYPERLINK("https://www.schizoespoir.com/","Schizo Hope Association (SCHIZO-ESPOIR)")</f>
        <v>Schizo Hope Association (SCHIZO-ESPOIR)</v>
      </c>
      <c r="C32" s="5" t="s">
        <v>15</v>
      </c>
      <c r="D32" s="5" t="s">
        <v>292</v>
      </c>
      <c r="E32" s="5" t="s">
        <v>292</v>
      </c>
      <c r="F32" s="3" t="s">
        <v>532</v>
      </c>
      <c r="G32" s="15">
        <v>1</v>
      </c>
      <c r="H32" s="5" t="s">
        <v>371</v>
      </c>
      <c r="I32" s="5"/>
      <c r="J32" s="4">
        <v>28</v>
      </c>
    </row>
    <row r="33" spans="1:10" ht="15.9" customHeight="1">
      <c r="A33" s="4">
        <v>29</v>
      </c>
      <c r="B33" s="3" t="str">
        <f>HYPERLINK("https://www.facebook.com/schizojeunes","Schizo Young")</f>
        <v>Schizo Young</v>
      </c>
      <c r="C33" s="5" t="s">
        <v>15</v>
      </c>
      <c r="D33" s="5" t="s">
        <v>292</v>
      </c>
      <c r="E33" s="5" t="s">
        <v>292</v>
      </c>
      <c r="F33" s="3" t="s">
        <v>534</v>
      </c>
      <c r="G33" s="15">
        <v>1</v>
      </c>
      <c r="H33" s="5" t="s">
        <v>371</v>
      </c>
      <c r="I33" s="5"/>
      <c r="J33" s="4">
        <v>29</v>
      </c>
    </row>
    <row r="34" spans="1:10" ht="15.9" customHeight="1">
      <c r="A34" s="4">
        <v>30</v>
      </c>
      <c r="B34" s="3" t="str">
        <f>HYPERLINK("https://www.schizo-oui.com/","Schizo-Oui")</f>
        <v>Schizo-Oui</v>
      </c>
      <c r="C34" s="5" t="s">
        <v>15</v>
      </c>
      <c r="D34" s="5" t="s">
        <v>292</v>
      </c>
      <c r="E34" s="5" t="s">
        <v>292</v>
      </c>
      <c r="F34" s="3" t="s">
        <v>531</v>
      </c>
      <c r="G34" s="15">
        <v>1</v>
      </c>
      <c r="H34" s="5" t="s">
        <v>371</v>
      </c>
      <c r="I34" s="5"/>
      <c r="J34" s="4">
        <v>30</v>
      </c>
    </row>
    <row r="35" spans="1:10" ht="15.9" customHeight="1">
      <c r="A35" s="4">
        <v>31</v>
      </c>
      <c r="B35" s="3" t="str">
        <f>HYPERLINK("https://www.solidarite-rehabilitation.org/","Solidarité Réhabilitation")</f>
        <v>Solidarité Réhabilitation</v>
      </c>
      <c r="C35" s="5" t="s">
        <v>15</v>
      </c>
      <c r="D35" s="5" t="s">
        <v>292</v>
      </c>
      <c r="E35" s="5" t="s">
        <v>292</v>
      </c>
      <c r="F35" s="3" t="s">
        <v>535</v>
      </c>
      <c r="G35" s="15">
        <v>4</v>
      </c>
      <c r="H35" s="5" t="s">
        <v>4925</v>
      </c>
      <c r="I35" s="5"/>
      <c r="J35" s="4">
        <v>31</v>
      </c>
    </row>
    <row r="36" spans="1:10" ht="15.9" customHeight="1">
      <c r="A36" s="4">
        <v>32</v>
      </c>
      <c r="B36" s="3" t="str">
        <f>HYPERLINK("https://www.vaincrealzheimer.org/","Vaincre Alzheimer Foundation")</f>
        <v>Vaincre Alzheimer Foundation</v>
      </c>
      <c r="C36" s="5" t="s">
        <v>15</v>
      </c>
      <c r="D36" s="5" t="s">
        <v>292</v>
      </c>
      <c r="E36" s="5" t="s">
        <v>292</v>
      </c>
      <c r="F36" s="3" t="s">
        <v>4397</v>
      </c>
      <c r="G36" s="15">
        <v>6</v>
      </c>
      <c r="H36" s="5" t="s">
        <v>4335</v>
      </c>
      <c r="I36" s="5"/>
      <c r="J36" s="4">
        <v>32</v>
      </c>
    </row>
    <row r="37" spans="1:10" ht="15.9" customHeight="1">
      <c r="A37" s="4">
        <v>33</v>
      </c>
      <c r="B37" s="3" t="str">
        <f>HYPERLINK("https://www.allipa.de/","Alliance of Caring Relatives – Interest Group and Self-Help Association")</f>
        <v>Alliance of Caring Relatives – Interest Group and Self-Help Association</v>
      </c>
      <c r="C37" s="5" t="s">
        <v>15</v>
      </c>
      <c r="D37" s="5" t="s">
        <v>295</v>
      </c>
      <c r="E37" s="5" t="s">
        <v>295</v>
      </c>
      <c r="F37" s="3" t="s">
        <v>4418</v>
      </c>
      <c r="G37" s="15">
        <v>10</v>
      </c>
      <c r="H37" s="5" t="s">
        <v>4925</v>
      </c>
      <c r="I37" s="5"/>
      <c r="J37" s="4">
        <v>33</v>
      </c>
    </row>
    <row r="38" spans="1:10" ht="15.9" customHeight="1">
      <c r="A38" s="4">
        <v>34</v>
      </c>
      <c r="B38" s="3" t="str">
        <f>HYPERLINK("https://alzheimer-organisation.de/","Alzheimer Family Initiative (AAI)")</f>
        <v>Alzheimer Family Initiative (AAI)</v>
      </c>
      <c r="C38" s="5" t="s">
        <v>15</v>
      </c>
      <c r="D38" s="5" t="s">
        <v>295</v>
      </c>
      <c r="E38" s="5" t="s">
        <v>295</v>
      </c>
      <c r="F38" s="3" t="s">
        <v>4407</v>
      </c>
      <c r="G38" s="15">
        <v>6</v>
      </c>
      <c r="H38" s="5" t="s">
        <v>4335</v>
      </c>
      <c r="I38" s="5"/>
      <c r="J38" s="4">
        <v>34</v>
      </c>
    </row>
    <row r="39" spans="1:10" ht="15.9" customHeight="1">
      <c r="A39" s="4">
        <v>35</v>
      </c>
      <c r="B39" s="3" t="str">
        <f>HYPERLINK("https://www.bapk.de/der-bapk.html","Federal Association of Relatives of Mentally Ill People (BApK)")</f>
        <v>Federal Association of Relatives of Mentally Ill People (BApK)</v>
      </c>
      <c r="C39" s="5" t="s">
        <v>15</v>
      </c>
      <c r="D39" s="5" t="s">
        <v>295</v>
      </c>
      <c r="E39" s="5" t="s">
        <v>295</v>
      </c>
      <c r="F39" s="3" t="s">
        <v>546</v>
      </c>
      <c r="G39" s="15">
        <v>4</v>
      </c>
      <c r="H39" s="5" t="s">
        <v>4925</v>
      </c>
      <c r="I39" s="5"/>
      <c r="J39" s="4">
        <v>35</v>
      </c>
    </row>
    <row r="40" spans="1:10" ht="15.9" customHeight="1">
      <c r="A40" s="4">
        <v>36</v>
      </c>
      <c r="B40" s="3" t="str">
        <f>HYPERLINK("https://www.deutsche-alzheimer-stiftung.de/","German Alzheimer Foundation")</f>
        <v>German Alzheimer Foundation</v>
      </c>
      <c r="C40" s="5" t="s">
        <v>15</v>
      </c>
      <c r="D40" s="5" t="s">
        <v>295</v>
      </c>
      <c r="E40" s="5" t="s">
        <v>295</v>
      </c>
      <c r="F40" s="3" t="s">
        <v>4406</v>
      </c>
      <c r="G40" s="15">
        <v>6</v>
      </c>
      <c r="H40" s="5" t="s">
        <v>4335</v>
      </c>
      <c r="I40" s="5"/>
      <c r="J40" s="4">
        <v>36</v>
      </c>
    </row>
    <row r="41" spans="1:10" ht="15.9" customHeight="1">
      <c r="A41" s="4">
        <v>37</v>
      </c>
      <c r="B41" s="3" t="str">
        <f>HYPERLINK("https://www.deutsche-alzheimer.de/","German Alzheimer Society (DAlzG)")</f>
        <v>German Alzheimer Society (DAlzG)</v>
      </c>
      <c r="C41" s="5" t="s">
        <v>15</v>
      </c>
      <c r="D41" s="5" t="s">
        <v>295</v>
      </c>
      <c r="E41" s="5" t="s">
        <v>295</v>
      </c>
      <c r="F41" s="3" t="s">
        <v>4382</v>
      </c>
      <c r="G41" s="15">
        <v>6</v>
      </c>
      <c r="H41" s="5" t="s">
        <v>4335</v>
      </c>
      <c r="I41" s="5"/>
      <c r="J41" s="4">
        <v>37</v>
      </c>
    </row>
    <row r="42" spans="1:10" ht="15.9" customHeight="1">
      <c r="A42" s="4">
        <v>38</v>
      </c>
      <c r="B42" s="3" t="str">
        <f>HYPERLINK("https://www.alzheimeruniti.it/","Alzheimer Uniti Italia Onlus")</f>
        <v>Alzheimer Uniti Italia Onlus</v>
      </c>
      <c r="C42" s="5" t="s">
        <v>15</v>
      </c>
      <c r="D42" s="5" t="s">
        <v>16</v>
      </c>
      <c r="E42" s="5" t="s">
        <v>16</v>
      </c>
      <c r="F42" s="3" t="s">
        <v>4387</v>
      </c>
      <c r="G42" s="15">
        <v>6</v>
      </c>
      <c r="H42" s="5" t="s">
        <v>4335</v>
      </c>
      <c r="I42" s="5"/>
      <c r="J42" s="4">
        <v>38</v>
      </c>
    </row>
    <row r="43" spans="1:10" ht="15.9" customHeight="1">
      <c r="A43" s="4">
        <v>39</v>
      </c>
      <c r="B43" s="3" t="str">
        <f>HYPERLINK("https://www.alzheimer.it/","Alzheimer's Federation Italy (FAI)")</f>
        <v>Alzheimer's Federation Italy (FAI)</v>
      </c>
      <c r="C43" s="5" t="s">
        <v>15</v>
      </c>
      <c r="D43" s="5" t="s">
        <v>16</v>
      </c>
      <c r="E43" s="5" t="s">
        <v>16</v>
      </c>
      <c r="F43" s="3" t="s">
        <v>4383</v>
      </c>
      <c r="G43" s="15">
        <v>6</v>
      </c>
      <c r="H43" s="5" t="s">
        <v>4335</v>
      </c>
      <c r="I43" s="5"/>
      <c r="J43" s="4">
        <v>39</v>
      </c>
    </row>
    <row r="44" spans="1:10" ht="15.9" customHeight="1">
      <c r="A44" s="4">
        <v>40</v>
      </c>
      <c r="B44" s="3" t="str">
        <f>HYPERLINK("https://www.diapsigraprato.it/","Association for the Defense of the Seriously Mentally Ill (DIAPSIGRA)")</f>
        <v>Association for the Defense of the Seriously Mentally Ill (DIAPSIGRA)</v>
      </c>
      <c r="C44" s="5" t="s">
        <v>15</v>
      </c>
      <c r="D44" s="5" t="s">
        <v>16</v>
      </c>
      <c r="E44" s="5" t="s">
        <v>16</v>
      </c>
      <c r="F44" s="3" t="s">
        <v>544</v>
      </c>
      <c r="G44" s="15">
        <v>4</v>
      </c>
      <c r="H44" s="5" t="s">
        <v>4925</v>
      </c>
      <c r="I44" s="5"/>
      <c r="J44" s="4">
        <v>40</v>
      </c>
    </row>
    <row r="45" spans="1:10" ht="15.9" customHeight="1">
      <c r="A45" s="4">
        <v>41</v>
      </c>
      <c r="B45" s="3" t="str">
        <f>HYPERLINK("https://www.caima.it/","Caregivers. Italian Association of Alzheimer's Patients. ODV (CAIMA)")</f>
        <v>Caregivers. Italian Association of Alzheimer's Patients. ODV (CAIMA)</v>
      </c>
      <c r="C45" s="5" t="s">
        <v>15</v>
      </c>
      <c r="D45" s="5" t="s">
        <v>16</v>
      </c>
      <c r="E45" s="5" t="s">
        <v>16</v>
      </c>
      <c r="F45" s="3" t="s">
        <v>4403</v>
      </c>
      <c r="G45" s="15">
        <v>6</v>
      </c>
      <c r="H45" s="5" t="s">
        <v>4335</v>
      </c>
      <c r="I45" s="5"/>
      <c r="J45" s="4">
        <v>41</v>
      </c>
    </row>
    <row r="46" spans="1:10" ht="15.9" customHeight="1">
      <c r="A46" s="4">
        <v>42</v>
      </c>
      <c r="B46" s="3" t="str">
        <f>HYPERLINK("http://www.giuliaematteo.org/","Giulia and Matteo Social Promotion Association")</f>
        <v>Giulia and Matteo Social Promotion Association</v>
      </c>
      <c r="C46" s="5" t="s">
        <v>15</v>
      </c>
      <c r="D46" s="5" t="s">
        <v>16</v>
      </c>
      <c r="E46" s="5" t="s">
        <v>16</v>
      </c>
      <c r="F46" s="3" t="s">
        <v>502</v>
      </c>
      <c r="G46" s="15">
        <v>4</v>
      </c>
      <c r="H46" s="5" t="s">
        <v>4925</v>
      </c>
      <c r="I46" s="5"/>
      <c r="J46" s="4">
        <v>42</v>
      </c>
    </row>
    <row r="47" spans="1:10" ht="15.9" customHeight="1">
      <c r="A47" s="4">
        <v>43</v>
      </c>
      <c r="B47" s="3" t="str">
        <f>HYPERLINK("https://progettoitaca.org/","Itaca Project")</f>
        <v>Itaca Project</v>
      </c>
      <c r="C47" s="5" t="s">
        <v>15</v>
      </c>
      <c r="D47" s="5" t="s">
        <v>16</v>
      </c>
      <c r="E47" s="5" t="s">
        <v>16</v>
      </c>
      <c r="F47" s="3" t="s">
        <v>504</v>
      </c>
      <c r="G47" s="15">
        <v>4</v>
      </c>
      <c r="H47" s="5" t="s">
        <v>4925</v>
      </c>
      <c r="I47" s="5"/>
      <c r="J47" s="4">
        <v>43</v>
      </c>
    </row>
    <row r="48" spans="1:10" ht="15.9" customHeight="1">
      <c r="A48" s="4">
        <v>44</v>
      </c>
      <c r="B48" s="3" t="str">
        <f>HYPERLINK("http://www.alzheimer-aima.it/","Italian Alzheimer's Disease Association (AIMA)")</f>
        <v>Italian Alzheimer's Disease Association (AIMA)</v>
      </c>
      <c r="C48" s="5" t="s">
        <v>15</v>
      </c>
      <c r="D48" s="5" t="s">
        <v>16</v>
      </c>
      <c r="E48" s="5" t="s">
        <v>16</v>
      </c>
      <c r="F48" s="3" t="s">
        <v>4401</v>
      </c>
      <c r="G48" s="15">
        <v>6</v>
      </c>
      <c r="H48" s="5" t="s">
        <v>4335</v>
      </c>
      <c r="I48" s="5"/>
      <c r="J48" s="4">
        <v>44</v>
      </c>
    </row>
    <row r="49" spans="1:10" ht="15.9" customHeight="1">
      <c r="A49" s="4">
        <v>45</v>
      </c>
      <c r="B49" s="3" t="str">
        <f>HYPERLINK("https://www.airalzh.it/","Italian Association for Alzheimer Research Onlus (Airalzh)")</f>
        <v>Italian Association for Alzheimer Research Onlus (Airalzh)</v>
      </c>
      <c r="C49" s="5" t="s">
        <v>15</v>
      </c>
      <c r="D49" s="5" t="s">
        <v>16</v>
      </c>
      <c r="E49" s="5" t="s">
        <v>16</v>
      </c>
      <c r="F49" s="3" t="s">
        <v>4402</v>
      </c>
      <c r="G49" s="15">
        <v>6</v>
      </c>
      <c r="H49" s="5" t="s">
        <v>4335</v>
      </c>
      <c r="I49" s="5"/>
      <c r="J49" s="4">
        <v>45</v>
      </c>
    </row>
    <row r="50" spans="1:10" ht="15.9" customHeight="1">
      <c r="A50" s="4">
        <v>46</v>
      </c>
      <c r="B50" s="3" t="str">
        <f>HYPERLINK("https://www.aipp-italia.com/","Italian Association for Prevention and Early Intervention in Mental Health (AIPP)")</f>
        <v>Italian Association for Prevention and Early Intervention in Mental Health (AIPP)</v>
      </c>
      <c r="C50" s="5" t="s">
        <v>15</v>
      </c>
      <c r="D50" s="5" t="s">
        <v>16</v>
      </c>
      <c r="E50" s="5" t="s">
        <v>16</v>
      </c>
      <c r="F50" s="3" t="s">
        <v>543</v>
      </c>
      <c r="G50" s="15">
        <v>4</v>
      </c>
      <c r="H50" s="5" t="s">
        <v>4925</v>
      </c>
      <c r="I50" s="5"/>
      <c r="J50" s="4">
        <v>46</v>
      </c>
    </row>
    <row r="51" spans="1:10" ht="15.9" customHeight="1">
      <c r="A51" s="4">
        <v>47</v>
      </c>
      <c r="B51" s="3" t="str">
        <f>HYPERLINK("https://www.aitsam.it/","Italian Association for the Protection of Mental Health (AITSAM)")</f>
        <v>Italian Association for the Protection of Mental Health (AITSAM)</v>
      </c>
      <c r="C51" s="5" t="s">
        <v>15</v>
      </c>
      <c r="D51" s="5" t="s">
        <v>16</v>
      </c>
      <c r="E51" s="5" t="s">
        <v>16</v>
      </c>
      <c r="F51" s="3" t="s">
        <v>503</v>
      </c>
      <c r="G51" s="15">
        <v>4</v>
      </c>
      <c r="H51" s="5" t="s">
        <v>4925</v>
      </c>
      <c r="I51" s="5"/>
      <c r="J51" s="4">
        <v>47</v>
      </c>
    </row>
    <row r="52" spans="1:10" ht="15.9" customHeight="1">
      <c r="A52" s="4">
        <v>48</v>
      </c>
      <c r="B52" s="3" t="str">
        <f>HYPERLINK("https://www.fondazione-manuli.org/","Manuli Foundation")</f>
        <v>Manuli Foundation</v>
      </c>
      <c r="C52" s="5" t="s">
        <v>15</v>
      </c>
      <c r="D52" s="5" t="s">
        <v>16</v>
      </c>
      <c r="E52" s="5" t="s">
        <v>16</v>
      </c>
      <c r="F52" s="3" t="s">
        <v>4404</v>
      </c>
      <c r="G52" s="15">
        <v>6</v>
      </c>
      <c r="H52" s="5" t="s">
        <v>4335</v>
      </c>
      <c r="I52" s="5"/>
      <c r="J52" s="4">
        <v>48</v>
      </c>
    </row>
    <row r="53" spans="1:10" ht="15.9" customHeight="1">
      <c r="A53" s="4">
        <v>49</v>
      </c>
      <c r="B53" s="3" t="str">
        <f>HYPERLINK("http://www.unasam.it/","National Union of Mental Health Associations (UNASAM)")</f>
        <v>National Union of Mental Health Associations (UNASAM)</v>
      </c>
      <c r="C53" s="5" t="s">
        <v>15</v>
      </c>
      <c r="D53" s="5" t="s">
        <v>16</v>
      </c>
      <c r="E53" s="5" t="s">
        <v>16</v>
      </c>
      <c r="F53" s="3" t="s">
        <v>542</v>
      </c>
      <c r="G53" s="15">
        <v>4</v>
      </c>
      <c r="H53" s="5" t="s">
        <v>4925</v>
      </c>
      <c r="I53" s="5"/>
      <c r="J53" s="4">
        <v>49</v>
      </c>
    </row>
    <row r="54" spans="1:10" ht="15.9" customHeight="1">
      <c r="A54" s="4">
        <v>50</v>
      </c>
      <c r="B54" s="3" t="str">
        <f>HYPERLINK("https://www.pernonsentirsisoli.org/","Per non sentirsi soli: Association to support families of Alzheimer's patients")</f>
        <v>Per non sentirsi soli: Association to support families of Alzheimer's patients</v>
      </c>
      <c r="C54" s="5" t="s">
        <v>15</v>
      </c>
      <c r="D54" s="5" t="s">
        <v>16</v>
      </c>
      <c r="E54" s="5" t="s">
        <v>16</v>
      </c>
      <c r="F54" s="3" t="s">
        <v>4405</v>
      </c>
      <c r="G54" s="15">
        <v>6</v>
      </c>
      <c r="H54" s="5" t="s">
        <v>4335</v>
      </c>
      <c r="I54" s="5"/>
      <c r="J54" s="4">
        <v>50</v>
      </c>
    </row>
    <row r="55" spans="1:10" ht="15.9" customHeight="1">
      <c r="A55" s="4">
        <v>51</v>
      </c>
      <c r="B55" s="3" t="str">
        <f>HYPERLINK("https://www.alzheimer.or.jp/","Alzheimer’s Association Japan")</f>
        <v>Alzheimer’s Association Japan</v>
      </c>
      <c r="C55" s="5" t="s">
        <v>15</v>
      </c>
      <c r="D55" s="5" t="s">
        <v>316</v>
      </c>
      <c r="E55" s="5" t="s">
        <v>316</v>
      </c>
      <c r="F55" s="3" t="s">
        <v>4384</v>
      </c>
      <c r="G55" s="15">
        <v>6</v>
      </c>
      <c r="H55" s="5" t="s">
        <v>4335</v>
      </c>
      <c r="I55" s="5"/>
      <c r="J55" s="4">
        <v>51</v>
      </c>
    </row>
    <row r="56" spans="1:10" ht="15.9" customHeight="1">
      <c r="A56" s="4">
        <v>52</v>
      </c>
      <c r="B56" s="3" t="str">
        <f>HYPERLINK("https://carersjapan.com/","Japan Carer Association")</f>
        <v>Japan Carer Association</v>
      </c>
      <c r="C56" s="5" t="s">
        <v>15</v>
      </c>
      <c r="D56" s="5" t="s">
        <v>316</v>
      </c>
      <c r="E56" s="5" t="s">
        <v>316</v>
      </c>
      <c r="F56" s="3" t="s">
        <v>4414</v>
      </c>
      <c r="G56" s="15">
        <v>10</v>
      </c>
      <c r="H56" s="5" t="s">
        <v>4925</v>
      </c>
      <c r="I56" s="5"/>
      <c r="J56" s="4">
        <v>52</v>
      </c>
    </row>
    <row r="57" spans="1:10" ht="15.9" customHeight="1">
      <c r="A57" s="4">
        <v>53</v>
      </c>
      <c r="B57" s="3" t="str">
        <f>HYPERLINK("https://seishinhoken.jp/","National Federation of Mental Health and Welfare Associations (Minna Net)")</f>
        <v>National Federation of Mental Health and Welfare Associations (Minna Net)</v>
      </c>
      <c r="C57" s="5" t="s">
        <v>15</v>
      </c>
      <c r="D57" s="5" t="s">
        <v>316</v>
      </c>
      <c r="E57" s="5" t="s">
        <v>316</v>
      </c>
      <c r="F57" s="3" t="s">
        <v>524</v>
      </c>
      <c r="G57" s="15">
        <v>4</v>
      </c>
      <c r="H57" s="5" t="s">
        <v>4925</v>
      </c>
      <c r="I57" s="5"/>
      <c r="J57" s="4">
        <v>53</v>
      </c>
    </row>
    <row r="58" spans="1:10" ht="15.9" customHeight="1">
      <c r="A58" s="4">
        <v>54</v>
      </c>
      <c r="B58" s="3" t="str">
        <f>HYPERLINK("https://alzfae.org/","Alzheimer Foundation Spain (FAE)")</f>
        <v>Alzheimer Foundation Spain (FAE)</v>
      </c>
      <c r="C58" s="5" t="s">
        <v>15</v>
      </c>
      <c r="D58" s="5" t="s">
        <v>311</v>
      </c>
      <c r="E58" s="5" t="s">
        <v>311</v>
      </c>
      <c r="F58" s="3" t="s">
        <v>4386</v>
      </c>
      <c r="G58" s="15">
        <v>6</v>
      </c>
      <c r="H58" s="5" t="s">
        <v>4335</v>
      </c>
      <c r="I58" s="5"/>
      <c r="J58" s="4">
        <v>54</v>
      </c>
    </row>
    <row r="59" spans="1:10" ht="15.9" customHeight="1">
      <c r="A59" s="4">
        <v>55</v>
      </c>
      <c r="B59" s="3" t="str">
        <f>HYPERLINK("https://www.acufade.org/","Association of Caregivers, Family Members and Friends of People with Dependency, Alzheimer's and other Dementias (ACUFADE)")</f>
        <v>Association of Caregivers, Family Members and Friends of People with Dependency, Alzheimer's and other Dementias (ACUFADE)</v>
      </c>
      <c r="C59" s="5" t="s">
        <v>15</v>
      </c>
      <c r="D59" s="5" t="s">
        <v>311</v>
      </c>
      <c r="E59" s="5" t="s">
        <v>311</v>
      </c>
      <c r="F59" s="3" t="s">
        <v>4417</v>
      </c>
      <c r="G59" s="15">
        <v>6</v>
      </c>
      <c r="H59" s="5" t="s">
        <v>4335</v>
      </c>
      <c r="I59" s="5"/>
      <c r="J59" s="4">
        <v>55</v>
      </c>
    </row>
    <row r="60" spans="1:10" ht="15.9" customHeight="1">
      <c r="A60" s="4">
        <v>56</v>
      </c>
      <c r="B60" s="3" t="str">
        <f>HYPERLINK("https://fpmaragall.org/","Pasqual Maragall Foundation")</f>
        <v>Pasqual Maragall Foundation</v>
      </c>
      <c r="C60" s="5" t="s">
        <v>15</v>
      </c>
      <c r="D60" s="5" t="s">
        <v>311</v>
      </c>
      <c r="E60" s="5" t="s">
        <v>311</v>
      </c>
      <c r="F60" s="3" t="s">
        <v>4395</v>
      </c>
      <c r="G60" s="15">
        <v>6</v>
      </c>
      <c r="H60" s="5" t="s">
        <v>4335</v>
      </c>
      <c r="I60" s="5"/>
      <c r="J60" s="4">
        <v>56</v>
      </c>
    </row>
    <row r="61" spans="1:10" ht="15.9" customHeight="1">
      <c r="A61" s="4">
        <v>57</v>
      </c>
      <c r="B61" s="3" t="str">
        <f>HYPERLINK("https://www.fundacionreinasofia.es/ES/Paginas/home.aspx","Queen Sofia Foundation")</f>
        <v>Queen Sofia Foundation</v>
      </c>
      <c r="C61" s="5" t="s">
        <v>15</v>
      </c>
      <c r="D61" s="5" t="s">
        <v>311</v>
      </c>
      <c r="E61" s="5" t="s">
        <v>311</v>
      </c>
      <c r="F61" s="3" t="s">
        <v>4396</v>
      </c>
      <c r="G61" s="15">
        <v>6</v>
      </c>
      <c r="H61" s="5" t="s">
        <v>4335</v>
      </c>
      <c r="I61" s="5"/>
      <c r="J61" s="4">
        <v>57</v>
      </c>
    </row>
    <row r="62" spans="1:10" ht="15.9" customHeight="1">
      <c r="A62" s="4">
        <v>58</v>
      </c>
      <c r="B62" s="3" t="str">
        <f>HYPERLINK("https://www.amafe.org/","Spanish Association for Support in Psychosis (AMAFE)")</f>
        <v>Spanish Association for Support in Psychosis (AMAFE)</v>
      </c>
      <c r="C62" s="5" t="s">
        <v>15</v>
      </c>
      <c r="D62" s="5" t="s">
        <v>311</v>
      </c>
      <c r="E62" s="5" t="s">
        <v>311</v>
      </c>
      <c r="F62" s="3" t="s">
        <v>505</v>
      </c>
      <c r="G62" s="15">
        <v>3</v>
      </c>
      <c r="H62" s="5" t="s">
        <v>4325</v>
      </c>
      <c r="I62" s="5"/>
      <c r="J62" s="4">
        <v>58</v>
      </c>
    </row>
    <row r="63" spans="1:10" ht="15.9" customHeight="1">
      <c r="A63" s="4">
        <v>59</v>
      </c>
      <c r="B63" s="3" t="str">
        <f>HYPERLINK("https://www.ceafa.es/es","Spanish Confederation of Alzheimer's and other dementias (CEAFA)")</f>
        <v>Spanish Confederation of Alzheimer's and other dementias (CEAFA)</v>
      </c>
      <c r="C63" s="5" t="s">
        <v>15</v>
      </c>
      <c r="D63" s="5" t="s">
        <v>311</v>
      </c>
      <c r="E63" s="5" t="s">
        <v>311</v>
      </c>
      <c r="F63" s="3" t="s">
        <v>4385</v>
      </c>
      <c r="G63" s="15">
        <v>6</v>
      </c>
      <c r="H63" s="5" t="s">
        <v>4335</v>
      </c>
      <c r="I63" s="5"/>
      <c r="J63" s="4">
        <v>59</v>
      </c>
    </row>
    <row r="64" spans="1:10" ht="15.9" customHeight="1">
      <c r="A64" s="4">
        <v>60</v>
      </c>
      <c r="B64" s="3" t="str">
        <f>HYPERLINK("https://consaludmental.org/","Spanish Confederation of Associations of Families and People with Mental Illness (FEAFES)")</f>
        <v>Spanish Confederation of Associations of Families and People with Mental Illness (FEAFES)</v>
      </c>
      <c r="C64" s="5" t="s">
        <v>15</v>
      </c>
      <c r="D64" s="5" t="s">
        <v>311</v>
      </c>
      <c r="E64" s="5" t="s">
        <v>311</v>
      </c>
      <c r="F64" s="3" t="s">
        <v>541</v>
      </c>
      <c r="G64" s="15">
        <v>4</v>
      </c>
      <c r="H64" s="5" t="s">
        <v>4925</v>
      </c>
      <c r="I64" s="5"/>
      <c r="J64" s="4">
        <v>60</v>
      </c>
    </row>
    <row r="65" spans="1:10" ht="15.9" customHeight="1">
      <c r="A65" s="4">
        <v>61</v>
      </c>
      <c r="B65" s="3" t="str">
        <f>HYPERLINK("https://www.alzheimersresearchuk.org/","Alzheimer's Research UK")</f>
        <v>Alzheimer's Research UK</v>
      </c>
      <c r="C65" s="5" t="s">
        <v>15</v>
      </c>
      <c r="D65" s="5" t="s">
        <v>17</v>
      </c>
      <c r="E65" s="5" t="s">
        <v>17</v>
      </c>
      <c r="F65" s="3" t="s">
        <v>4377</v>
      </c>
      <c r="G65" s="15">
        <v>6</v>
      </c>
      <c r="H65" s="5" t="s">
        <v>4335</v>
      </c>
      <c r="I65" s="5"/>
      <c r="J65" s="4">
        <v>61</v>
      </c>
    </row>
    <row r="66" spans="1:10" ht="15.9" customHeight="1">
      <c r="A66" s="4">
        <v>62</v>
      </c>
      <c r="B66" s="3" t="str">
        <f>HYPERLINK("https://www.alzheimers.org.uk/","Alzheimer's Society")</f>
        <v>Alzheimer's Society</v>
      </c>
      <c r="C66" s="5" t="s">
        <v>15</v>
      </c>
      <c r="D66" s="5" t="s">
        <v>17</v>
      </c>
      <c r="E66" s="5" t="s">
        <v>17</v>
      </c>
      <c r="F66" s="3" t="s">
        <v>4376</v>
      </c>
      <c r="G66" s="15">
        <v>6</v>
      </c>
      <c r="H66" s="5" t="s">
        <v>4335</v>
      </c>
      <c r="I66" s="5"/>
      <c r="J66" s="4">
        <v>62</v>
      </c>
    </row>
    <row r="67" spans="1:10" ht="15.9" customHeight="1">
      <c r="A67" s="4">
        <v>63</v>
      </c>
      <c r="B67" s="3" t="str">
        <f>HYPERLINK("https://www.brainresearchuk.org.uk/","Brain Research UK")</f>
        <v>Brain Research UK</v>
      </c>
      <c r="C67" s="5" t="s">
        <v>15</v>
      </c>
      <c r="D67" s="5" t="s">
        <v>17</v>
      </c>
      <c r="E67" s="5" t="s">
        <v>17</v>
      </c>
      <c r="F67" s="3" t="s">
        <v>506</v>
      </c>
      <c r="G67" s="15">
        <v>8</v>
      </c>
      <c r="H67" s="5" t="s">
        <v>4925</v>
      </c>
      <c r="I67" s="5"/>
      <c r="J67" s="4">
        <v>63</v>
      </c>
    </row>
    <row r="68" spans="1:10" ht="15.9" customHeight="1">
      <c r="A68" s="4">
        <v>64</v>
      </c>
      <c r="B68" s="3" t="str">
        <f>HYPERLINK("https://carers.org/","Carers Trust")</f>
        <v>Carers Trust</v>
      </c>
      <c r="C68" s="5" t="s">
        <v>15</v>
      </c>
      <c r="D68" s="5" t="s">
        <v>17</v>
      </c>
      <c r="E68" s="5" t="s">
        <v>17</v>
      </c>
      <c r="F68" s="3" t="s">
        <v>4419</v>
      </c>
      <c r="G68" s="15">
        <v>10</v>
      </c>
      <c r="H68" s="5" t="s">
        <v>4925</v>
      </c>
      <c r="I68" s="5"/>
      <c r="J68" s="4">
        <v>64</v>
      </c>
    </row>
    <row r="69" spans="1:10" ht="15.9" customHeight="1">
      <c r="A69" s="4">
        <v>65</v>
      </c>
      <c r="B69" s="3" t="str">
        <f>HYPERLINK("https://www.carersuk.org/","Carers UK")</f>
        <v>Carers UK</v>
      </c>
      <c r="C69" s="5" t="s">
        <v>15</v>
      </c>
      <c r="D69" s="5" t="s">
        <v>17</v>
      </c>
      <c r="E69" s="5" t="s">
        <v>17</v>
      </c>
      <c r="F69" s="3" t="s">
        <v>4415</v>
      </c>
      <c r="G69" s="15">
        <v>10</v>
      </c>
      <c r="H69" s="5" t="s">
        <v>4925</v>
      </c>
      <c r="I69" s="5"/>
      <c r="J69" s="4">
        <v>65</v>
      </c>
    </row>
    <row r="70" spans="1:10" ht="15.9" customHeight="1">
      <c r="A70" s="4">
        <v>66</v>
      </c>
      <c r="B70" s="3" t="str">
        <f>HYPERLINK("https://eps.ac.uk/","Experimental Psychology Society")</f>
        <v>Experimental Psychology Society</v>
      </c>
      <c r="C70" s="5" t="s">
        <v>15</v>
      </c>
      <c r="D70" s="5" t="s">
        <v>17</v>
      </c>
      <c r="E70" s="5" t="s">
        <v>17</v>
      </c>
      <c r="F70" s="3" t="s">
        <v>507</v>
      </c>
      <c r="G70" s="15">
        <v>5</v>
      </c>
      <c r="H70" s="5" t="s">
        <v>4925</v>
      </c>
      <c r="I70" s="5"/>
      <c r="J70" s="4">
        <v>66</v>
      </c>
    </row>
    <row r="71" spans="1:10" ht="15.9" customHeight="1">
      <c r="A71" s="4">
        <v>67</v>
      </c>
      <c r="B71" s="3" t="str">
        <f>HYPERLINK("https://livingwithschizophreniauk.org/","Living with Schizophrenia")</f>
        <v>Living with Schizophrenia</v>
      </c>
      <c r="C71" s="5" t="s">
        <v>15</v>
      </c>
      <c r="D71" s="5" t="s">
        <v>17</v>
      </c>
      <c r="E71" s="5" t="s">
        <v>17</v>
      </c>
      <c r="F71" s="3" t="s">
        <v>508</v>
      </c>
      <c r="G71" s="15">
        <v>1</v>
      </c>
      <c r="H71" s="5" t="s">
        <v>371</v>
      </c>
      <c r="I71" s="5"/>
      <c r="J71" s="4">
        <v>67</v>
      </c>
    </row>
    <row r="72" spans="1:10" ht="15.9" customHeight="1">
      <c r="A72" s="4">
        <v>68</v>
      </c>
      <c r="B72" s="3" t="str">
        <f>HYPERLINK("https://www.mentalhealth.org.uk/","Mental Health Foundation")</f>
        <v>Mental Health Foundation</v>
      </c>
      <c r="C72" s="5" t="s">
        <v>15</v>
      </c>
      <c r="D72" s="5" t="s">
        <v>17</v>
      </c>
      <c r="E72" s="5" t="s">
        <v>17</v>
      </c>
      <c r="F72" s="3" t="s">
        <v>509</v>
      </c>
      <c r="G72" s="15">
        <v>4</v>
      </c>
      <c r="H72" s="5" t="s">
        <v>4925</v>
      </c>
      <c r="I72" s="5"/>
      <c r="J72" s="4">
        <v>68</v>
      </c>
    </row>
    <row r="73" spans="1:10" ht="15.9" customHeight="1">
      <c r="A73" s="4">
        <v>69</v>
      </c>
      <c r="B73" s="3" t="str">
        <f>HYPERLINK("https://mentalhealth-uk.org/","Mental Health UK")</f>
        <v>Mental Health UK</v>
      </c>
      <c r="C73" s="5" t="s">
        <v>15</v>
      </c>
      <c r="D73" s="5" t="s">
        <v>17</v>
      </c>
      <c r="E73" s="5" t="s">
        <v>17</v>
      </c>
      <c r="F73" s="3" t="s">
        <v>510</v>
      </c>
      <c r="G73" s="15">
        <v>4</v>
      </c>
      <c r="H73" s="5" t="s">
        <v>4925</v>
      </c>
      <c r="I73" s="5"/>
      <c r="J73" s="4">
        <v>69</v>
      </c>
    </row>
    <row r="74" spans="1:10" ht="15.9" customHeight="1">
      <c r="A74" s="4">
        <v>70</v>
      </c>
      <c r="B74" s="3" t="str">
        <f>HYPERLINK("https://www.mind.org.uk/","Mind")</f>
        <v>Mind</v>
      </c>
      <c r="C74" s="5" t="s">
        <v>15</v>
      </c>
      <c r="D74" s="5" t="s">
        <v>17</v>
      </c>
      <c r="E74" s="5" t="s">
        <v>17</v>
      </c>
      <c r="F74" s="3" t="s">
        <v>528</v>
      </c>
      <c r="G74" s="15">
        <v>4</v>
      </c>
      <c r="H74" s="5" t="s">
        <v>4925</v>
      </c>
      <c r="I74" s="5"/>
      <c r="J74" s="4">
        <v>70</v>
      </c>
    </row>
    <row r="75" spans="1:10" ht="15.9" customHeight="1">
      <c r="A75" s="4">
        <v>71</v>
      </c>
      <c r="B75" s="3" t="str">
        <f>HYPERLINK("https://www.nationalbrainappeal.org/","National Brain Appeal")</f>
        <v>National Brain Appeal</v>
      </c>
      <c r="C75" s="5" t="s">
        <v>15</v>
      </c>
      <c r="D75" s="5" t="s">
        <v>17</v>
      </c>
      <c r="E75" s="5" t="s">
        <v>17</v>
      </c>
      <c r="F75" s="3" t="s">
        <v>511</v>
      </c>
      <c r="G75" s="15">
        <v>8</v>
      </c>
      <c r="H75" s="5" t="s">
        <v>4925</v>
      </c>
      <c r="I75" s="5"/>
      <c r="J75" s="4">
        <v>71</v>
      </c>
    </row>
    <row r="76" spans="1:10" ht="15.9" customHeight="1">
      <c r="A76" s="4">
        <v>72</v>
      </c>
      <c r="B76" s="3" t="str">
        <f>HYPERLINK("https://www.rethink.org/","Rethink Mental Illness")</f>
        <v>Rethink Mental Illness</v>
      </c>
      <c r="C76" s="5" t="s">
        <v>15</v>
      </c>
      <c r="D76" s="5" t="s">
        <v>17</v>
      </c>
      <c r="E76" s="5" t="s">
        <v>17</v>
      </c>
      <c r="F76" s="3" t="s">
        <v>512</v>
      </c>
      <c r="G76" s="15">
        <v>4</v>
      </c>
      <c r="H76" s="5" t="s">
        <v>4925</v>
      </c>
      <c r="I76" s="5"/>
      <c r="J76" s="4">
        <v>72</v>
      </c>
    </row>
    <row r="77" spans="1:10" ht="15.9" customHeight="1">
      <c r="A77" s="4">
        <v>73</v>
      </c>
      <c r="B77" s="3" t="str">
        <f>HYPERLINK("https://www.sane.org.uk/","SANE")</f>
        <v>SANE</v>
      </c>
      <c r="C77" s="5" t="s">
        <v>15</v>
      </c>
      <c r="D77" s="5" t="s">
        <v>17</v>
      </c>
      <c r="E77" s="5" t="s">
        <v>17</v>
      </c>
      <c r="F77" s="3" t="s">
        <v>526</v>
      </c>
      <c r="G77" s="15">
        <v>4</v>
      </c>
      <c r="H77" s="5" t="s">
        <v>4925</v>
      </c>
      <c r="I77" s="5"/>
      <c r="J77" s="4">
        <v>73</v>
      </c>
    </row>
    <row r="78" spans="1:10" ht="15.9" customHeight="1">
      <c r="A78" s="4">
        <v>74</v>
      </c>
      <c r="B78" s="3" t="str">
        <f>HYPERLINK("https://www.samh.org.uk/","Scottish Action for Mental Health")</f>
        <v>Scottish Action for Mental Health</v>
      </c>
      <c r="C78" s="5" t="s">
        <v>15</v>
      </c>
      <c r="D78" s="5" t="s">
        <v>17</v>
      </c>
      <c r="E78" s="5" t="s">
        <v>17</v>
      </c>
      <c r="F78" s="3" t="s">
        <v>513</v>
      </c>
      <c r="G78" s="15">
        <v>4</v>
      </c>
      <c r="H78" s="5" t="s">
        <v>4925</v>
      </c>
      <c r="I78" s="5"/>
      <c r="J78" s="4">
        <v>74</v>
      </c>
    </row>
    <row r="79" spans="1:10" ht="15.9" customHeight="1">
      <c r="A79" s="4">
        <v>75</v>
      </c>
      <c r="B79" s="3" t="str">
        <f>HYPERLINK("https://www.thebraincharity.org.uk/","The Brain Charity")</f>
        <v>The Brain Charity</v>
      </c>
      <c r="C79" s="5" t="s">
        <v>15</v>
      </c>
      <c r="D79" s="5" t="s">
        <v>17</v>
      </c>
      <c r="E79" s="5" t="s">
        <v>17</v>
      </c>
      <c r="F79" s="3" t="s">
        <v>514</v>
      </c>
      <c r="G79" s="15">
        <v>8</v>
      </c>
      <c r="H79" s="5" t="s">
        <v>4925</v>
      </c>
      <c r="I79" s="5"/>
      <c r="J79" s="4">
        <v>75</v>
      </c>
    </row>
    <row r="80" spans="1:10" ht="15.9" customHeight="1">
      <c r="A80" s="4">
        <v>76</v>
      </c>
      <c r="B80" s="3" t="str">
        <f>HYPERLINK("https://www.neural.org.uk/","The Neurological Alliance")</f>
        <v>The Neurological Alliance</v>
      </c>
      <c r="C80" s="5" t="s">
        <v>15</v>
      </c>
      <c r="D80" s="5" t="s">
        <v>17</v>
      </c>
      <c r="E80" s="5" t="s">
        <v>17</v>
      </c>
      <c r="F80" s="3" t="s">
        <v>515</v>
      </c>
      <c r="G80" s="15">
        <v>8</v>
      </c>
      <c r="H80" s="5" t="s">
        <v>4925</v>
      </c>
      <c r="I80" s="5"/>
      <c r="J80" s="4">
        <v>76</v>
      </c>
    </row>
    <row r="81" spans="1:10" ht="15.9" customHeight="1">
      <c r="A81" s="4">
        <v>77</v>
      </c>
      <c r="B81" s="3" t="str">
        <f>HYPERLINK("https://www.scottishneurological.org.uk/","The Neurological Alliance of Scotland")</f>
        <v>The Neurological Alliance of Scotland</v>
      </c>
      <c r="C81" s="5" t="s">
        <v>15</v>
      </c>
      <c r="D81" s="5" t="s">
        <v>17</v>
      </c>
      <c r="E81" s="5" t="s">
        <v>17</v>
      </c>
      <c r="F81" s="3" t="s">
        <v>516</v>
      </c>
      <c r="G81" s="15">
        <v>8</v>
      </c>
      <c r="H81" s="5" t="s">
        <v>4925</v>
      </c>
      <c r="I81" s="5"/>
      <c r="J81" s="4">
        <v>77</v>
      </c>
    </row>
    <row r="82" spans="1:10" ht="15.9" customHeight="1">
      <c r="A82" s="4">
        <v>78</v>
      </c>
      <c r="B82" s="3" t="str">
        <f>HYPERLINK("https://www.walesneurologicalalliance.org.uk/","The Neurological Alliance of Wales")</f>
        <v>The Neurological Alliance of Wales</v>
      </c>
      <c r="C82" s="5" t="s">
        <v>15</v>
      </c>
      <c r="D82" s="5" t="s">
        <v>17</v>
      </c>
      <c r="E82" s="5" t="s">
        <v>17</v>
      </c>
      <c r="F82" s="3" t="s">
        <v>517</v>
      </c>
      <c r="G82" s="15">
        <v>8</v>
      </c>
      <c r="H82" s="5" t="s">
        <v>4925</v>
      </c>
      <c r="I82" s="5"/>
      <c r="J82" s="4">
        <v>78</v>
      </c>
    </row>
    <row r="83" spans="1:10" ht="15.9" customHeight="1">
      <c r="A83" s="4">
        <v>79</v>
      </c>
      <c r="B83" s="3" t="str">
        <f>HYPERLINK("https://schizophreniaresearchfund.org.uk/","The Schizophrenia Research Fund")</f>
        <v>The Schizophrenia Research Fund</v>
      </c>
      <c r="C83" s="5" t="s">
        <v>15</v>
      </c>
      <c r="D83" s="5" t="s">
        <v>17</v>
      </c>
      <c r="E83" s="5" t="s">
        <v>17</v>
      </c>
      <c r="F83" s="3" t="s">
        <v>518</v>
      </c>
      <c r="G83" s="15">
        <v>1</v>
      </c>
      <c r="H83" s="5" t="s">
        <v>371</v>
      </c>
      <c r="I83" s="5"/>
      <c r="J83" s="4">
        <v>79</v>
      </c>
    </row>
    <row r="84" spans="1:10" ht="15.9" customHeight="1">
      <c r="A84" s="4">
        <v>80</v>
      </c>
      <c r="B84" s="3" t="str">
        <f>HYPERLINK("https://www.together-uk.org/","Together for Mental Wellbeing")</f>
        <v>Together for Mental Wellbeing</v>
      </c>
      <c r="C84" s="5" t="s">
        <v>15</v>
      </c>
      <c r="D84" s="5" t="s">
        <v>17</v>
      </c>
      <c r="E84" s="5" t="s">
        <v>17</v>
      </c>
      <c r="F84" s="3" t="s">
        <v>547</v>
      </c>
      <c r="G84" s="15">
        <v>4</v>
      </c>
      <c r="H84" s="5" t="s">
        <v>4925</v>
      </c>
      <c r="I84" s="5"/>
      <c r="J84" s="4">
        <v>80</v>
      </c>
    </row>
    <row r="85" spans="1:10" ht="15.9" customHeight="1">
      <c r="A85" s="4">
        <v>81</v>
      </c>
      <c r="B85" s="3" t="str">
        <f>HYPERLINK("https://www.youngminds.org.uk/","YoungMinds")</f>
        <v>YoungMinds</v>
      </c>
      <c r="C85" s="5" t="s">
        <v>15</v>
      </c>
      <c r="D85" s="5" t="s">
        <v>17</v>
      </c>
      <c r="E85" s="5" t="s">
        <v>17</v>
      </c>
      <c r="F85" s="3" t="s">
        <v>529</v>
      </c>
      <c r="G85" s="15">
        <v>4</v>
      </c>
      <c r="H85" s="5" t="s">
        <v>4925</v>
      </c>
      <c r="I85" s="5"/>
      <c r="J85" s="4">
        <v>81</v>
      </c>
    </row>
    <row r="86" spans="1:10" ht="15.9" customHeight="1">
      <c r="A86" s="4">
        <v>82</v>
      </c>
      <c r="B86" s="3" t="str">
        <f>HYPERLINK("https://www.alzcare.org/","Alzheimer’s Community Care")</f>
        <v>Alzheimer’s Community Care</v>
      </c>
      <c r="C86" s="5" t="s">
        <v>15</v>
      </c>
      <c r="D86" s="5" t="s">
        <v>18</v>
      </c>
      <c r="E86" s="5" t="s">
        <v>18</v>
      </c>
      <c r="F86" s="3" t="s">
        <v>4389</v>
      </c>
      <c r="G86" s="15">
        <v>6</v>
      </c>
      <c r="H86" s="5" t="s">
        <v>4335</v>
      </c>
      <c r="I86" s="5"/>
      <c r="J86" s="4">
        <v>82</v>
      </c>
    </row>
    <row r="87" spans="1:10" ht="15.9" customHeight="1">
      <c r="A87" s="4">
        <v>83</v>
      </c>
      <c r="B87" s="3" t="str">
        <f>HYPERLINK("https://alzimpact.org/","Alzheimer’s Impact Movement")</f>
        <v>Alzheimer’s Impact Movement</v>
      </c>
      <c r="C87" s="5" t="s">
        <v>15</v>
      </c>
      <c r="D87" s="5" t="s">
        <v>18</v>
      </c>
      <c r="E87" s="5" t="s">
        <v>18</v>
      </c>
      <c r="F87" s="3" t="s">
        <v>4408</v>
      </c>
      <c r="G87" s="15">
        <v>6</v>
      </c>
      <c r="H87" s="5" t="s">
        <v>4335</v>
      </c>
      <c r="I87" s="5"/>
      <c r="J87" s="4">
        <v>83</v>
      </c>
    </row>
    <row r="88" spans="1:10" ht="15.9" customHeight="1">
      <c r="A88" s="4">
        <v>84</v>
      </c>
      <c r="B88" s="3" t="str">
        <f>HYPERLINK("https://www.alz.org/","Alzheimer's Association")</f>
        <v>Alzheimer's Association</v>
      </c>
      <c r="C88" s="5" t="s">
        <v>15</v>
      </c>
      <c r="D88" s="5" t="s">
        <v>18</v>
      </c>
      <c r="E88" s="5" t="s">
        <v>18</v>
      </c>
      <c r="F88" s="3" t="s">
        <v>4374</v>
      </c>
      <c r="G88" s="15">
        <v>6</v>
      </c>
      <c r="H88" s="5" t="s">
        <v>4335</v>
      </c>
      <c r="I88" s="5"/>
      <c r="J88" s="4">
        <v>84</v>
      </c>
    </row>
    <row r="89" spans="1:10" ht="15.9" customHeight="1">
      <c r="A89" s="4">
        <v>85</v>
      </c>
      <c r="B89" s="3" t="str">
        <f>HYPERLINK("https://alzfdn.org/","Alzheimer's Foundation of America")</f>
        <v>Alzheimer's Foundation of America</v>
      </c>
      <c r="C89" s="5" t="s">
        <v>15</v>
      </c>
      <c r="D89" s="5" t="s">
        <v>18</v>
      </c>
      <c r="E89" s="5" t="s">
        <v>18</v>
      </c>
      <c r="F89" s="3" t="s">
        <v>4375</v>
      </c>
      <c r="G89" s="15">
        <v>6</v>
      </c>
      <c r="H89" s="5" t="s">
        <v>4335</v>
      </c>
      <c r="I89" s="5"/>
      <c r="J89" s="4">
        <v>85</v>
      </c>
    </row>
    <row r="90" spans="1:10" ht="15.9" customHeight="1">
      <c r="A90" s="4">
        <v>86</v>
      </c>
      <c r="B90" s="3" t="str">
        <f>HYPERLINK("https://www.americanbraincoalition.org/","American Brain Coalition")</f>
        <v>American Brain Coalition</v>
      </c>
      <c r="C90" s="5" t="s">
        <v>15</v>
      </c>
      <c r="D90" s="5" t="s">
        <v>18</v>
      </c>
      <c r="E90" s="5" t="s">
        <v>18</v>
      </c>
      <c r="F90" s="3" t="s">
        <v>539</v>
      </c>
      <c r="G90" s="15">
        <v>5</v>
      </c>
      <c r="H90" s="5" t="s">
        <v>4925</v>
      </c>
      <c r="I90" s="5"/>
      <c r="J90" s="4">
        <v>86</v>
      </c>
    </row>
    <row r="91" spans="1:10" ht="15.9" customHeight="1">
      <c r="A91" s="4">
        <v>87</v>
      </c>
      <c r="B91" s="3" t="str">
        <f>HYPERLINK("https://curingalzheimersdisease.com/","Curing Alzheimer's Disease Foundation")</f>
        <v>Curing Alzheimer's Disease Foundation</v>
      </c>
      <c r="C91" s="5" t="s">
        <v>15</v>
      </c>
      <c r="D91" s="5" t="s">
        <v>18</v>
      </c>
      <c r="E91" s="5" t="s">
        <v>18</v>
      </c>
      <c r="F91" s="3" t="s">
        <v>4390</v>
      </c>
      <c r="G91" s="15">
        <v>6</v>
      </c>
      <c r="H91" s="5" t="s">
        <v>4335</v>
      </c>
      <c r="I91" s="5"/>
      <c r="J91" s="4">
        <v>87</v>
      </c>
    </row>
    <row r="92" spans="1:10" ht="15.9" customHeight="1">
      <c r="A92" s="4">
        <v>88</v>
      </c>
      <c r="B92" s="3" t="str">
        <f>HYPERLINK("https://www.caregiver.org/","Family Caregiver Alliance")</f>
        <v>Family Caregiver Alliance</v>
      </c>
      <c r="C92" s="5" t="s">
        <v>15</v>
      </c>
      <c r="D92" s="5" t="s">
        <v>18</v>
      </c>
      <c r="E92" s="5" t="s">
        <v>18</v>
      </c>
      <c r="F92" s="3" t="s">
        <v>4420</v>
      </c>
      <c r="G92" s="15">
        <v>10</v>
      </c>
      <c r="H92" s="5" t="s">
        <v>4925</v>
      </c>
      <c r="I92" s="5"/>
      <c r="J92" s="4">
        <v>88</v>
      </c>
    </row>
    <row r="93" spans="1:10" ht="15.9" customHeight="1">
      <c r="A93" s="4">
        <v>89</v>
      </c>
      <c r="B93" s="3" t="str">
        <f>HYPERLINK("https://www.wearehfc.org/","Hilarity for Charity")</f>
        <v>Hilarity for Charity</v>
      </c>
      <c r="C93" s="5" t="s">
        <v>15</v>
      </c>
      <c r="D93" s="5" t="s">
        <v>18</v>
      </c>
      <c r="E93" s="5" t="s">
        <v>18</v>
      </c>
      <c r="F93" s="3" t="s">
        <v>4392</v>
      </c>
      <c r="G93" s="15">
        <v>6</v>
      </c>
      <c r="H93" s="5" t="s">
        <v>4335</v>
      </c>
      <c r="I93" s="5"/>
      <c r="J93" s="4">
        <v>89</v>
      </c>
    </row>
    <row r="94" spans="1:10" ht="15.9" customHeight="1">
      <c r="A94" s="4">
        <v>90</v>
      </c>
      <c r="B94" s="3" t="str">
        <f>HYPERLINK("https://www.jdfaf.org/","John Douglas French Alzheimer's Foundation")</f>
        <v>John Douglas French Alzheimer's Foundation</v>
      </c>
      <c r="C94" s="5" t="s">
        <v>15</v>
      </c>
      <c r="D94" s="5" t="s">
        <v>18</v>
      </c>
      <c r="E94" s="5" t="s">
        <v>18</v>
      </c>
      <c r="F94" s="3" t="s">
        <v>4393</v>
      </c>
      <c r="G94" s="15">
        <v>6</v>
      </c>
      <c r="H94" s="5" t="s">
        <v>4335</v>
      </c>
      <c r="I94" s="5"/>
      <c r="J94" s="4">
        <v>90</v>
      </c>
    </row>
    <row r="95" spans="1:10" ht="15.9" customHeight="1">
      <c r="A95" s="4">
        <v>91</v>
      </c>
      <c r="B95" s="3" t="str">
        <f>HYPERLINK("https://www.johnhenry.org/","John Henry Foundation")</f>
        <v>John Henry Foundation</v>
      </c>
      <c r="C95" s="5" t="s">
        <v>15</v>
      </c>
      <c r="D95" s="5" t="s">
        <v>18</v>
      </c>
      <c r="E95" s="5" t="s">
        <v>18</v>
      </c>
      <c r="F95" s="3" t="s">
        <v>519</v>
      </c>
      <c r="G95" s="15">
        <v>1</v>
      </c>
      <c r="H95" s="5" t="s">
        <v>371</v>
      </c>
      <c r="I95" s="5"/>
      <c r="J95" s="4">
        <v>91</v>
      </c>
    </row>
    <row r="96" spans="1:10" ht="15.9" customHeight="1">
      <c r="A96" s="4">
        <v>92</v>
      </c>
      <c r="B96" s="3" t="str">
        <f>HYPERLINK("https://www.caregiving.org/","National Alliance for Caregiving")</f>
        <v>National Alliance for Caregiving</v>
      </c>
      <c r="C96" s="5" t="s">
        <v>15</v>
      </c>
      <c r="D96" s="5" t="s">
        <v>18</v>
      </c>
      <c r="E96" s="5" t="s">
        <v>18</v>
      </c>
      <c r="F96" s="3" t="s">
        <v>4416</v>
      </c>
      <c r="G96" s="15">
        <v>10</v>
      </c>
      <c r="H96" s="5" t="s">
        <v>4925</v>
      </c>
      <c r="I96" s="5"/>
      <c r="J96" s="4">
        <v>92</v>
      </c>
    </row>
    <row r="97" spans="1:10" ht="15.9" customHeight="1">
      <c r="A97" s="4">
        <v>93</v>
      </c>
      <c r="B97" s="3" t="str">
        <f>HYPERLINK("https://www.nami.org/","National Alliance on Mental Illness")</f>
        <v>National Alliance on Mental Illness</v>
      </c>
      <c r="C97" s="5" t="s">
        <v>15</v>
      </c>
      <c r="D97" s="5" t="s">
        <v>18</v>
      </c>
      <c r="E97" s="5" t="s">
        <v>18</v>
      </c>
      <c r="F97" s="3" t="s">
        <v>523</v>
      </c>
      <c r="G97" s="15">
        <v>4</v>
      </c>
      <c r="H97" s="5" t="s">
        <v>4925</v>
      </c>
      <c r="I97" s="5"/>
      <c r="J97" s="4">
        <v>93</v>
      </c>
    </row>
    <row r="98" spans="1:10" ht="15.9" customHeight="1">
      <c r="A98" s="4">
        <v>94</v>
      </c>
      <c r="B98" s="3" t="str">
        <f>HYPERLINK("https://sczaction.org/","Schizophrenia &amp; Psychosis Action Alliance")</f>
        <v>Schizophrenia &amp; Psychosis Action Alliance</v>
      </c>
      <c r="C98" s="5" t="s">
        <v>15</v>
      </c>
      <c r="D98" s="5" t="s">
        <v>18</v>
      </c>
      <c r="E98" s="5" t="s">
        <v>18</v>
      </c>
      <c r="F98" s="3" t="s">
        <v>520</v>
      </c>
      <c r="G98" s="15">
        <v>1</v>
      </c>
      <c r="H98" s="5" t="s">
        <v>371</v>
      </c>
      <c r="I98" s="5"/>
      <c r="J98" s="4">
        <v>94</v>
      </c>
    </row>
    <row r="99" spans="1:10" ht="15.9" customHeight="1">
      <c r="A99" s="4">
        <v>95</v>
      </c>
      <c r="B99" s="3" t="str">
        <f>HYPERLINK("http://www.schizophrenia.com/index.html","Schizophrenia.com")</f>
        <v>Schizophrenia.com</v>
      </c>
      <c r="C99" s="5" t="s">
        <v>15</v>
      </c>
      <c r="D99" s="5" t="s">
        <v>18</v>
      </c>
      <c r="E99" s="5" t="s">
        <v>18</v>
      </c>
      <c r="F99" s="3" t="s">
        <v>548</v>
      </c>
      <c r="G99" s="15">
        <v>1</v>
      </c>
      <c r="H99" s="5" t="s">
        <v>371</v>
      </c>
      <c r="I99" s="5"/>
      <c r="J99" s="4">
        <v>95</v>
      </c>
    </row>
    <row r="100" spans="1:10" ht="15.9" customHeight="1">
      <c r="A100" s="4">
        <v>96</v>
      </c>
      <c r="B100" s="3" t="str">
        <f>HYPERLINK("https://www.baerfoundation.com/","Sidney R. Baer, Jr. Foundation")</f>
        <v>Sidney R. Baer, Jr. Foundation</v>
      </c>
      <c r="C100" s="5" t="s">
        <v>15</v>
      </c>
      <c r="D100" s="5" t="s">
        <v>18</v>
      </c>
      <c r="E100" s="5" t="s">
        <v>18</v>
      </c>
      <c r="F100" s="3" t="s">
        <v>521</v>
      </c>
      <c r="G100" s="15">
        <v>1</v>
      </c>
      <c r="H100" s="5" t="s">
        <v>371</v>
      </c>
      <c r="I100" s="5"/>
      <c r="J100" s="4">
        <v>96</v>
      </c>
    </row>
    <row r="101" spans="1:10" ht="15.9" customHeight="1">
      <c r="A101" s="4">
        <v>97</v>
      </c>
      <c r="B101" s="3" t="str">
        <f>HYPERLINK("https://curesz.org/","The CURESZ Foundation")</f>
        <v>The CURESZ Foundation</v>
      </c>
      <c r="C101" s="5" t="s">
        <v>15</v>
      </c>
      <c r="D101" s="5" t="s">
        <v>18</v>
      </c>
      <c r="E101" s="5" t="s">
        <v>18</v>
      </c>
      <c r="F101" s="3" t="s">
        <v>522</v>
      </c>
      <c r="G101" s="15">
        <v>1</v>
      </c>
      <c r="H101" s="5" t="s">
        <v>371</v>
      </c>
      <c r="I101" s="5"/>
      <c r="J101" s="4">
        <v>97</v>
      </c>
    </row>
    <row r="102" spans="1:10" ht="15.9" customHeight="1">
      <c r="A102" s="4">
        <v>98</v>
      </c>
      <c r="B102" s="3" t="str">
        <f>HYPERLINK("https://www.treatmentadvocacycenter.org/","Treatment Advocacy Center")</f>
        <v>Treatment Advocacy Center</v>
      </c>
      <c r="C102" s="5" t="s">
        <v>15</v>
      </c>
      <c r="D102" s="5" t="s">
        <v>18</v>
      </c>
      <c r="E102" s="5" t="s">
        <v>18</v>
      </c>
      <c r="F102" s="3" t="s">
        <v>527</v>
      </c>
      <c r="G102" s="15">
        <v>4</v>
      </c>
      <c r="H102" s="5" t="s">
        <v>4925</v>
      </c>
      <c r="I102" s="5"/>
      <c r="J102" s="4">
        <v>98</v>
      </c>
    </row>
    <row r="103" spans="1:10" ht="15.9" customHeight="1">
      <c r="A103" s="4">
        <v>99</v>
      </c>
      <c r="B103" s="3" t="str">
        <f>HYPERLINK("https://www.usagainstalzheimers.org/","UsAgainstAlzheimer’s")</f>
        <v>UsAgainstAlzheimer’s</v>
      </c>
      <c r="C103" s="5" t="s">
        <v>15</v>
      </c>
      <c r="D103" s="5" t="s">
        <v>18</v>
      </c>
      <c r="E103" s="5" t="s">
        <v>18</v>
      </c>
      <c r="F103" s="3" t="s">
        <v>4391</v>
      </c>
      <c r="G103" s="15">
        <v>6</v>
      </c>
      <c r="H103" s="5" t="s">
        <v>4335</v>
      </c>
      <c r="I103" s="5"/>
      <c r="J103" s="4">
        <v>99</v>
      </c>
    </row>
    <row r="104" spans="1:10" ht="15.9" customHeight="1">
      <c r="A104" s="4">
        <v>100</v>
      </c>
      <c r="B104" s="3" t="str">
        <f>HYPERLINK("https://thewomensalzheimersmovement.org/","Women's Alzheimer's Movement")</f>
        <v>Women's Alzheimer's Movement</v>
      </c>
      <c r="C104" s="5" t="s">
        <v>15</v>
      </c>
      <c r="D104" s="5" t="s">
        <v>18</v>
      </c>
      <c r="E104" s="5" t="s">
        <v>18</v>
      </c>
      <c r="F104" s="3" t="s">
        <v>4394</v>
      </c>
      <c r="G104" s="15">
        <v>6</v>
      </c>
      <c r="H104" s="5" t="s">
        <v>4335</v>
      </c>
      <c r="I104" s="5"/>
      <c r="J104" s="4">
        <v>100</v>
      </c>
    </row>
  </sheetData>
  <autoFilter ref="A4:J4" xr:uid="{00000000-0009-0000-0000-000004000000}"/>
  <sortState xmlns:xlrd2="http://schemas.microsoft.com/office/spreadsheetml/2017/richdata2" ref="A5:I105">
    <sortCondition ref="C5:C105" customList="International,Regional,National"/>
    <sortCondition ref="D5:D105"/>
    <sortCondition ref="B5:B105"/>
  </sortState>
  <mergeCells count="2">
    <mergeCell ref="A1:I1"/>
    <mergeCell ref="A2:I3"/>
  </mergeCells>
  <conditionalFormatting sqref="B1:B4">
    <cfRule type="duplicateValues" dxfId="0" priority="18"/>
  </conditionalFormatting>
  <hyperlinks>
    <hyperlink ref="F18" r:id="rId1" xr:uid="{00000000-0004-0000-0400-000000000000}"/>
    <hyperlink ref="F13" r:id="rId2" xr:uid="{00000000-0004-0000-0400-000001000000}"/>
    <hyperlink ref="F15" r:id="rId3" xr:uid="{00000000-0004-0000-0400-000002000000}"/>
    <hyperlink ref="F16" r:id="rId4" xr:uid="{00000000-0004-0000-0400-000003000000}"/>
    <hyperlink ref="F17" r:id="rId5" xr:uid="{00000000-0004-0000-0400-000004000000}"/>
    <hyperlink ref="F19" r:id="rId6" xr:uid="{00000000-0004-0000-0400-000005000000}"/>
    <hyperlink ref="F46" r:id="rId7" xr:uid="{00000000-0004-0000-0400-000006000000}"/>
    <hyperlink ref="F51" r:id="rId8" xr:uid="{00000000-0004-0000-0400-000007000000}"/>
    <hyperlink ref="F47" r:id="rId9" xr:uid="{00000000-0004-0000-0400-000008000000}"/>
    <hyperlink ref="F62" r:id="rId10" xr:uid="{00000000-0004-0000-0400-000009000000}"/>
    <hyperlink ref="F67" r:id="rId11" xr:uid="{00000000-0004-0000-0400-00000A000000}"/>
    <hyperlink ref="F70" r:id="rId12" xr:uid="{00000000-0004-0000-0400-00000B000000}"/>
    <hyperlink ref="F71" r:id="rId13" xr:uid="{00000000-0004-0000-0400-00000C000000}"/>
    <hyperlink ref="F72" r:id="rId14" xr:uid="{00000000-0004-0000-0400-00000D000000}"/>
    <hyperlink ref="F73" r:id="rId15" xr:uid="{00000000-0004-0000-0400-00000E000000}"/>
    <hyperlink ref="F75" r:id="rId16" xr:uid="{00000000-0004-0000-0400-00000F000000}"/>
    <hyperlink ref="F76" r:id="rId17" xr:uid="{00000000-0004-0000-0400-000010000000}"/>
    <hyperlink ref="F78" r:id="rId18" xr:uid="{00000000-0004-0000-0400-000011000000}"/>
    <hyperlink ref="F79" r:id="rId19" xr:uid="{00000000-0004-0000-0400-000012000000}"/>
    <hyperlink ref="F80" r:id="rId20" xr:uid="{00000000-0004-0000-0400-000013000000}"/>
    <hyperlink ref="F81" r:id="rId21" xr:uid="{00000000-0004-0000-0400-000014000000}"/>
    <hyperlink ref="F82" r:id="rId22" xr:uid="{00000000-0004-0000-0400-000015000000}"/>
    <hyperlink ref="F83" r:id="rId23" xr:uid="{00000000-0004-0000-0400-000016000000}"/>
    <hyperlink ref="F95" r:id="rId24" xr:uid="{00000000-0004-0000-0400-000017000000}"/>
    <hyperlink ref="F98" r:id="rId25" xr:uid="{00000000-0004-0000-0400-000018000000}"/>
    <hyperlink ref="F100" r:id="rId26" xr:uid="{00000000-0004-0000-0400-000019000000}"/>
    <hyperlink ref="F101" r:id="rId27" xr:uid="{00000000-0004-0000-0400-00001A000000}"/>
    <hyperlink ref="F97" r:id="rId28" xr:uid="{00000000-0004-0000-0400-00001B000000}"/>
    <hyperlink ref="F57" r:id="rId29" xr:uid="{00000000-0004-0000-0400-00001C000000}"/>
    <hyperlink ref="F11" r:id="rId30" xr:uid="{00000000-0004-0000-0400-00001D000000}"/>
    <hyperlink ref="F77" r:id="rId31" xr:uid="{00000000-0004-0000-0400-00001E000000}"/>
    <hyperlink ref="F102" r:id="rId32" xr:uid="{00000000-0004-0000-0400-00001F000000}"/>
    <hyperlink ref="F74" r:id="rId33" xr:uid="{00000000-0004-0000-0400-000020000000}"/>
    <hyperlink ref="F85" r:id="rId34" xr:uid="{00000000-0004-0000-0400-000021000000}"/>
    <hyperlink ref="F28" r:id="rId35" xr:uid="{00000000-0004-0000-0400-000022000000}"/>
    <hyperlink ref="F34" r:id="rId36" xr:uid="{00000000-0004-0000-0400-000023000000}"/>
    <hyperlink ref="F32" r:id="rId37" xr:uid="{00000000-0004-0000-0400-000024000000}"/>
    <hyperlink ref="F31" r:id="rId38" xr:uid="{00000000-0004-0000-0400-000025000000}"/>
    <hyperlink ref="F33" r:id="rId39" xr:uid="{00000000-0004-0000-0400-000026000000}"/>
    <hyperlink ref="F35" r:id="rId40" xr:uid="{00000000-0004-0000-0400-000027000000}"/>
    <hyperlink ref="F29" r:id="rId41" xr:uid="{00000000-0004-0000-0400-000028000000}"/>
    <hyperlink ref="F22" r:id="rId42" xr:uid="{00000000-0004-0000-0400-000029000000}"/>
    <hyperlink ref="F25" r:id="rId43" xr:uid="{00000000-0004-0000-0400-00002A000000}"/>
    <hyperlink ref="F90" r:id="rId44" xr:uid="{00000000-0004-0000-0400-00002B000000}"/>
    <hyperlink ref="F27" r:id="rId45" xr:uid="{00000000-0004-0000-0400-00002C000000}"/>
    <hyperlink ref="F64" r:id="rId46" xr:uid="{00000000-0004-0000-0400-00002D000000}"/>
    <hyperlink ref="F53" r:id="rId47" xr:uid="{00000000-0004-0000-0400-00002E000000}"/>
    <hyperlink ref="F50" r:id="rId48" xr:uid="{00000000-0004-0000-0400-00002F000000}"/>
    <hyperlink ref="F44" r:id="rId49" xr:uid="{00000000-0004-0000-0400-000030000000}"/>
    <hyperlink ref="F30" r:id="rId50" xr:uid="{00000000-0004-0000-0400-000031000000}"/>
    <hyperlink ref="F39" r:id="rId51" xr:uid="{00000000-0004-0000-0400-000032000000}"/>
    <hyperlink ref="F84" r:id="rId52" xr:uid="{00000000-0004-0000-0400-000033000000}"/>
    <hyperlink ref="F99" r:id="rId53" xr:uid="{00000000-0004-0000-0400-000034000000}"/>
    <hyperlink ref="F5" r:id="rId54" xr:uid="{00000000-0004-0000-0400-000035000000}"/>
    <hyperlink ref="F88" r:id="rId55" xr:uid="{00000000-0004-0000-0400-000036000000}"/>
    <hyperlink ref="F89" r:id="rId56" xr:uid="{00000000-0004-0000-0400-000037000000}"/>
    <hyperlink ref="F66" r:id="rId57" xr:uid="{00000000-0004-0000-0400-000038000000}"/>
    <hyperlink ref="F65" r:id="rId58" xr:uid="{00000000-0004-0000-0400-000039000000}"/>
    <hyperlink ref="F12" r:id="rId59" xr:uid="{00000000-0004-0000-0400-00003A000000}"/>
    <hyperlink ref="F23" r:id="rId60" xr:uid="{00000000-0004-0000-0400-00003B000000}"/>
    <hyperlink ref="F9" r:id="rId61" xr:uid="{00000000-0004-0000-0400-00003C000000}"/>
    <hyperlink ref="F41" r:id="rId62" xr:uid="{00000000-0004-0000-0400-00003D000000}"/>
    <hyperlink ref="F43" r:id="rId63" xr:uid="{00000000-0004-0000-0400-00003E000000}"/>
    <hyperlink ref="F55" r:id="rId64" xr:uid="{00000000-0004-0000-0400-00003F000000}"/>
    <hyperlink ref="F63" r:id="rId65" xr:uid="{00000000-0004-0000-0400-000040000000}"/>
    <hyperlink ref="F58" r:id="rId66" xr:uid="{00000000-0004-0000-0400-000041000000}"/>
    <hyperlink ref="F42" r:id="rId67" xr:uid="{00000000-0004-0000-0400-000042000000}"/>
    <hyperlink ref="F7" r:id="rId68" xr:uid="{00000000-0004-0000-0400-000043000000}"/>
    <hyperlink ref="F86" r:id="rId69" xr:uid="{00000000-0004-0000-0400-000044000000}"/>
    <hyperlink ref="F91" r:id="rId70" xr:uid="{00000000-0004-0000-0400-000045000000}"/>
    <hyperlink ref="F103" r:id="rId71" xr:uid="{00000000-0004-0000-0400-000046000000}"/>
    <hyperlink ref="F93" r:id="rId72" xr:uid="{00000000-0004-0000-0400-000047000000}"/>
    <hyperlink ref="F94" r:id="rId73" xr:uid="{00000000-0004-0000-0400-000048000000}"/>
    <hyperlink ref="F104" r:id="rId74" xr:uid="{00000000-0004-0000-0400-000049000000}"/>
    <hyperlink ref="F60" r:id="rId75" xr:uid="{00000000-0004-0000-0400-00004A000000}"/>
    <hyperlink ref="F61" r:id="rId76" xr:uid="{00000000-0004-0000-0400-00004B000000}"/>
    <hyperlink ref="F36" r:id="rId77" xr:uid="{00000000-0004-0000-0400-00004C000000}"/>
    <hyperlink ref="F26" r:id="rId78" xr:uid="{00000000-0004-0000-0400-00004D000000}"/>
    <hyperlink ref="F21" r:id="rId79" xr:uid="{00000000-0004-0000-0400-00004E000000}"/>
    <hyperlink ref="F20" r:id="rId80" xr:uid="{00000000-0004-0000-0400-00004F000000}"/>
    <hyperlink ref="F48" r:id="rId81" xr:uid="{00000000-0004-0000-0400-000050000000}"/>
    <hyperlink ref="F49" r:id="rId82" xr:uid="{00000000-0004-0000-0400-000051000000}"/>
    <hyperlink ref="F45" r:id="rId83" xr:uid="{00000000-0004-0000-0400-000052000000}"/>
    <hyperlink ref="F52" r:id="rId84" xr:uid="{00000000-0004-0000-0400-000053000000}"/>
    <hyperlink ref="F54" r:id="rId85" xr:uid="{00000000-0004-0000-0400-000054000000}"/>
    <hyperlink ref="F40" r:id="rId86" xr:uid="{00000000-0004-0000-0400-000055000000}"/>
    <hyperlink ref="F38" r:id="rId87" xr:uid="{00000000-0004-0000-0400-000056000000}"/>
    <hyperlink ref="F87" r:id="rId88" xr:uid="{00000000-0004-0000-0400-000057000000}"/>
    <hyperlink ref="F6" r:id="rId89" xr:uid="{00000000-0004-0000-0400-000058000000}"/>
    <hyperlink ref="F10" r:id="rId90" xr:uid="{00000000-0004-0000-0400-000059000000}"/>
    <hyperlink ref="F14" r:id="rId91" xr:uid="{00000000-0004-0000-0400-00005A000000}"/>
    <hyperlink ref="F24" r:id="rId92" xr:uid="{00000000-0004-0000-0400-00005B000000}"/>
    <hyperlink ref="F56" r:id="rId93" xr:uid="{00000000-0004-0000-0400-00005C000000}"/>
    <hyperlink ref="F69" r:id="rId94" xr:uid="{00000000-0004-0000-0400-00005D000000}"/>
    <hyperlink ref="F96" r:id="rId95" xr:uid="{00000000-0004-0000-0400-00005E000000}"/>
    <hyperlink ref="F59" r:id="rId96" xr:uid="{00000000-0004-0000-0400-00005F000000}"/>
    <hyperlink ref="F37" r:id="rId97" xr:uid="{00000000-0004-0000-0400-000060000000}"/>
    <hyperlink ref="F68" r:id="rId98" xr:uid="{00000000-0004-0000-0400-000061000000}"/>
    <hyperlink ref="F92" r:id="rId99" xr:uid="{00000000-0004-0000-0400-000062000000}"/>
  </hyperlinks>
  <pageMargins left="0.7" right="0.7" top="0.75" bottom="0.75" header="0" footer="0"/>
  <pageSetup orientation="landscape" r:id="rId1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outlinePr summaryBelow="0" summaryRight="0"/>
  </sheetPr>
  <dimension ref="A1:I211"/>
  <sheetViews>
    <sheetView showGridLines="0" workbookViewId="0">
      <pane xSplit="2" ySplit="4" topLeftCell="C5" activePane="bottomRight" state="frozen"/>
      <selection pane="topRight"/>
      <selection pane="bottomLeft"/>
      <selection pane="bottomRight" activeCell="C5" sqref="C5"/>
    </sheetView>
  </sheetViews>
  <sheetFormatPr defaultColWidth="9" defaultRowHeight="15" customHeight="1"/>
  <cols>
    <col min="1" max="1" width="6.109375" customWidth="1"/>
    <col min="2" max="2" width="70.88671875" customWidth="1"/>
    <col min="3" max="4" width="15.88671875" customWidth="1"/>
    <col min="5" max="5" width="21.109375" customWidth="1"/>
    <col min="6" max="6" width="27" customWidth="1"/>
    <col min="7" max="8" width="15.5546875" customWidth="1"/>
    <col min="9" max="9" width="45.88671875" customWidth="1"/>
  </cols>
  <sheetData>
    <row r="1" spans="1:9" ht="24.75" customHeight="1">
      <c r="A1" s="66" t="s">
        <v>0</v>
      </c>
      <c r="B1" s="66"/>
      <c r="C1" s="66"/>
      <c r="D1" s="66"/>
      <c r="E1" s="66"/>
      <c r="F1" s="66"/>
      <c r="G1" s="66"/>
      <c r="H1" s="66"/>
      <c r="I1" s="66"/>
    </row>
    <row r="2" spans="1:9" ht="15" customHeight="1">
      <c r="A2" s="64" t="s">
        <v>1</v>
      </c>
      <c r="B2" s="64"/>
      <c r="C2" s="64"/>
      <c r="D2" s="64"/>
      <c r="E2" s="64"/>
      <c r="F2" s="64"/>
      <c r="G2" s="64"/>
      <c r="H2" s="64"/>
      <c r="I2" s="64"/>
    </row>
    <row r="3" spans="1:9" ht="15" customHeight="1">
      <c r="A3" s="64"/>
      <c r="B3" s="64"/>
      <c r="C3" s="64"/>
      <c r="D3" s="64"/>
      <c r="E3" s="64"/>
      <c r="F3" s="64"/>
      <c r="G3" s="64"/>
      <c r="H3" s="64"/>
      <c r="I3" s="64"/>
    </row>
    <row r="4" spans="1:9" ht="28.5" customHeight="1">
      <c r="A4" s="9" t="s">
        <v>2</v>
      </c>
      <c r="B4" s="12" t="s">
        <v>4922</v>
      </c>
      <c r="C4" s="9" t="s">
        <v>12</v>
      </c>
      <c r="D4" s="9" t="s">
        <v>13</v>
      </c>
      <c r="E4" s="12" t="s">
        <v>23</v>
      </c>
      <c r="F4" s="9" t="s">
        <v>5</v>
      </c>
      <c r="G4" s="9" t="s">
        <v>549</v>
      </c>
      <c r="H4" s="9" t="s">
        <v>4463</v>
      </c>
      <c r="I4" s="12" t="s">
        <v>6</v>
      </c>
    </row>
    <row r="5" spans="1:9" ht="15.9" customHeight="1">
      <c r="A5" s="4">
        <v>1</v>
      </c>
      <c r="B5" s="3" t="str">
        <f>HYPERLINK("https://www.alzforum.org/","Alzforum")</f>
        <v>Alzforum</v>
      </c>
      <c r="C5" s="5" t="s">
        <v>14</v>
      </c>
      <c r="D5" s="5" t="s">
        <v>14</v>
      </c>
      <c r="E5" s="5" t="s">
        <v>18</v>
      </c>
      <c r="F5" s="3" t="s">
        <v>4447</v>
      </c>
      <c r="G5" s="15">
        <v>6</v>
      </c>
      <c r="H5" s="5" t="s">
        <v>4335</v>
      </c>
      <c r="I5" s="5"/>
    </row>
    <row r="6" spans="1:9" ht="15.9" customHeight="1">
      <c r="A6" s="4">
        <v>2</v>
      </c>
      <c r="B6" s="3" t="str">
        <f>HYPERLINK("https://www.psychologicalscience.org/","Association for Psychological Science")</f>
        <v>Association for Psychological Science</v>
      </c>
      <c r="C6" s="5" t="s">
        <v>14</v>
      </c>
      <c r="D6" s="5" t="s">
        <v>14</v>
      </c>
      <c r="E6" s="5" t="s">
        <v>18</v>
      </c>
      <c r="F6" s="3" t="s">
        <v>574</v>
      </c>
      <c r="G6" s="15">
        <v>5</v>
      </c>
      <c r="H6" s="5" t="s">
        <v>4925</v>
      </c>
      <c r="I6" s="5"/>
    </row>
    <row r="7" spans="1:9" ht="15.9" customHeight="1">
      <c r="A7" s="4">
        <v>3</v>
      </c>
      <c r="B7" s="3" t="str">
        <f>HYPERLINK("https://discourseinpsychosis.org/","DISCOURSE in Psychosis")</f>
        <v>DISCOURSE in Psychosis</v>
      </c>
      <c r="C7" s="5" t="s">
        <v>14</v>
      </c>
      <c r="D7" s="5" t="s">
        <v>14</v>
      </c>
      <c r="E7" s="5"/>
      <c r="F7" s="3" t="s">
        <v>4307</v>
      </c>
      <c r="G7" s="15">
        <v>3</v>
      </c>
      <c r="H7" s="5" t="s">
        <v>4325</v>
      </c>
      <c r="I7" s="5"/>
    </row>
    <row r="8" spans="1:9" ht="15.9" customHeight="1">
      <c r="A8" s="4">
        <v>4</v>
      </c>
      <c r="B8" s="3" t="str">
        <f>HYPERLINK("https://www.gamian.eu/","Global Alliance of Mental Illness Advocacy Networks")</f>
        <v>Global Alliance of Mental Illness Advocacy Networks</v>
      </c>
      <c r="C8" s="5" t="s">
        <v>14</v>
      </c>
      <c r="D8" s="5" t="s">
        <v>14</v>
      </c>
      <c r="E8" s="5" t="s">
        <v>25</v>
      </c>
      <c r="F8" s="3" t="s">
        <v>649</v>
      </c>
      <c r="G8" s="15">
        <v>4</v>
      </c>
      <c r="H8" s="5" t="s">
        <v>4925</v>
      </c>
      <c r="I8" s="5"/>
    </row>
    <row r="9" spans="1:9" ht="15.9" customHeight="1">
      <c r="A9" s="4">
        <v>5</v>
      </c>
      <c r="B9" s="3" t="str">
        <f>HYPERLINK("https://www.iabmcp.org/","International Academy of Behavioral Medicine, Counseling and Psychotherapy")</f>
        <v>International Academy of Behavioral Medicine, Counseling and Psychotherapy</v>
      </c>
      <c r="C9" s="5" t="s">
        <v>14</v>
      </c>
      <c r="D9" s="5" t="s">
        <v>14</v>
      </c>
      <c r="E9" s="5" t="s">
        <v>18</v>
      </c>
      <c r="F9" s="3" t="s">
        <v>569</v>
      </c>
      <c r="G9" s="15">
        <v>5</v>
      </c>
      <c r="H9" s="5" t="s">
        <v>4925</v>
      </c>
      <c r="I9" s="5"/>
    </row>
    <row r="10" spans="1:9" ht="15.9" customHeight="1">
      <c r="A10" s="4">
        <v>6</v>
      </c>
      <c r="B10" s="3" t="str">
        <f>HYPERLINK("https://iacapap.org/","International Association for Child and Adolescent Psychiatry and Allied Professions")</f>
        <v>International Association for Child and Adolescent Psychiatry and Allied Professions</v>
      </c>
      <c r="C10" s="5" t="s">
        <v>14</v>
      </c>
      <c r="D10" s="5" t="s">
        <v>14</v>
      </c>
      <c r="E10" s="5" t="s">
        <v>27</v>
      </c>
      <c r="F10" s="3" t="s">
        <v>650</v>
      </c>
      <c r="G10" s="15">
        <v>4</v>
      </c>
      <c r="H10" s="5" t="s">
        <v>4925</v>
      </c>
      <c r="I10" s="5"/>
    </row>
    <row r="11" spans="1:9" ht="15.9" customHeight="1">
      <c r="A11" s="4">
        <v>7</v>
      </c>
      <c r="B11" s="3" t="str">
        <f>HYPERLINK("https://www.iagp.com/","International Association for Group Psychotherapy and Group Processes")</f>
        <v>International Association for Group Psychotherapy and Group Processes</v>
      </c>
      <c r="C11" s="5" t="s">
        <v>14</v>
      </c>
      <c r="D11" s="5" t="s">
        <v>14</v>
      </c>
      <c r="E11" s="5" t="s">
        <v>27</v>
      </c>
      <c r="F11" s="3" t="s">
        <v>558</v>
      </c>
      <c r="G11" s="15">
        <v>5</v>
      </c>
      <c r="H11" s="5" t="s">
        <v>4925</v>
      </c>
      <c r="I11" s="5"/>
    </row>
    <row r="12" spans="1:9" ht="15.9" customHeight="1">
      <c r="A12" s="4">
        <v>8</v>
      </c>
      <c r="B12" s="3" t="str">
        <f>HYPERLINK("https://iapsp.org/","International Association for Psychoanalytic Self Psychology")</f>
        <v>International Association for Psychoanalytic Self Psychology</v>
      </c>
      <c r="C12" s="5" t="s">
        <v>14</v>
      </c>
      <c r="D12" s="5" t="s">
        <v>14</v>
      </c>
      <c r="E12" s="5" t="s">
        <v>18</v>
      </c>
      <c r="F12" s="3" t="s">
        <v>600</v>
      </c>
      <c r="G12" s="15">
        <v>5</v>
      </c>
      <c r="H12" s="5" t="s">
        <v>4925</v>
      </c>
      <c r="I12" s="5"/>
    </row>
    <row r="13" spans="1:9" ht="15.9" customHeight="1">
      <c r="A13" s="4">
        <v>9</v>
      </c>
      <c r="B13" s="3" t="str">
        <f>HYPERLINK("https://iarpp.net/","International Association for Relational Psychoanalysis and Psychotherapy")</f>
        <v>International Association for Relational Psychoanalysis and Psychotherapy</v>
      </c>
      <c r="C13" s="5" t="s">
        <v>14</v>
      </c>
      <c r="D13" s="5" t="s">
        <v>14</v>
      </c>
      <c r="E13" s="5" t="s">
        <v>18</v>
      </c>
      <c r="F13" s="3" t="s">
        <v>568</v>
      </c>
      <c r="G13" s="15">
        <v>5</v>
      </c>
      <c r="H13" s="5" t="s">
        <v>4925</v>
      </c>
      <c r="I13" s="5"/>
    </row>
    <row r="14" spans="1:9" ht="15.9" customHeight="1">
      <c r="A14" s="4">
        <v>10</v>
      </c>
      <c r="B14" s="3" t="str">
        <f>HYPERLINK("https://iawmh.org/","International Association for Women's Mental Health")</f>
        <v>International Association for Women's Mental Health</v>
      </c>
      <c r="C14" s="5" t="s">
        <v>14</v>
      </c>
      <c r="D14" s="5" t="s">
        <v>14</v>
      </c>
      <c r="E14" s="5" t="s">
        <v>18</v>
      </c>
      <c r="F14" s="3" t="s">
        <v>641</v>
      </c>
      <c r="G14" s="15">
        <v>4</v>
      </c>
      <c r="H14" s="5" t="s">
        <v>4925</v>
      </c>
      <c r="I14" s="5"/>
    </row>
    <row r="15" spans="1:9" ht="15.9" customHeight="1">
      <c r="A15" s="4">
        <v>11</v>
      </c>
      <c r="B15" s="3" t="str">
        <f>HYPERLINK("https://iaapsy.org/","International Association of Applied Psychology")</f>
        <v>International Association of Applied Psychology</v>
      </c>
      <c r="C15" s="5" t="s">
        <v>14</v>
      </c>
      <c r="D15" s="5" t="s">
        <v>14</v>
      </c>
      <c r="E15" s="5" t="s">
        <v>18</v>
      </c>
      <c r="F15" s="3" t="s">
        <v>596</v>
      </c>
      <c r="G15" s="15">
        <v>5</v>
      </c>
      <c r="H15" s="5" t="s">
        <v>4925</v>
      </c>
      <c r="I15" s="5"/>
    </row>
    <row r="16" spans="1:9" ht="15.9" customHeight="1">
      <c r="A16" s="4">
        <v>12</v>
      </c>
      <c r="B16" s="3" t="str">
        <f>HYPERLINK("https://www.iagg.net/","International Association of Gerontology and Geriatrics")</f>
        <v>International Association of Gerontology and Geriatrics</v>
      </c>
      <c r="C16" s="5" t="s">
        <v>14</v>
      </c>
      <c r="D16" s="5" t="s">
        <v>14</v>
      </c>
      <c r="E16" s="5" t="s">
        <v>712</v>
      </c>
      <c r="F16" s="3" t="s">
        <v>4423</v>
      </c>
      <c r="G16" s="15">
        <v>9</v>
      </c>
      <c r="H16" s="5" t="s">
        <v>4925</v>
      </c>
      <c r="I16" s="5"/>
    </row>
    <row r="17" spans="1:9" ht="15.9" customHeight="1">
      <c r="A17" s="4">
        <v>13</v>
      </c>
      <c r="B17" s="3" t="str">
        <f>HYPERLINK("https://www.ibnsconnect.org/","International Behavioral Neuroscience Society")</f>
        <v>International Behavioral Neuroscience Society</v>
      </c>
      <c r="C17" s="5" t="s">
        <v>14</v>
      </c>
      <c r="D17" s="5" t="s">
        <v>14</v>
      </c>
      <c r="E17" s="5" t="s">
        <v>18</v>
      </c>
      <c r="F17" s="3" t="s">
        <v>657</v>
      </c>
      <c r="G17" s="15">
        <v>8</v>
      </c>
      <c r="H17" s="5" t="s">
        <v>4925</v>
      </c>
      <c r="I17" s="5"/>
    </row>
    <row r="18" spans="1:9" ht="15.9" customHeight="1">
      <c r="A18" s="4">
        <v>14</v>
      </c>
      <c r="B18" s="3" t="str">
        <f>HYPERLINK("https://ibro.org/","International Brain Research Organization")</f>
        <v>International Brain Research Organization</v>
      </c>
      <c r="C18" s="5" t="s">
        <v>14</v>
      </c>
      <c r="D18" s="5" t="s">
        <v>14</v>
      </c>
      <c r="E18" s="5" t="s">
        <v>292</v>
      </c>
      <c r="F18" s="3" t="s">
        <v>675</v>
      </c>
      <c r="G18" s="15">
        <v>8</v>
      </c>
      <c r="H18" s="5" t="s">
        <v>4925</v>
      </c>
      <c r="I18" s="5"/>
    </row>
    <row r="19" spans="1:9" ht="15.9" customHeight="1">
      <c r="A19" s="4">
        <v>15</v>
      </c>
      <c r="B19" s="3" t="str">
        <f>HYPERLINK("https://cinp.org/","International College of Neuropsychopharmacology (CINP)")</f>
        <v>International College of Neuropsychopharmacology (CINP)</v>
      </c>
      <c r="C19" s="5" t="s">
        <v>14</v>
      </c>
      <c r="D19" s="5" t="s">
        <v>14</v>
      </c>
      <c r="E19" s="5" t="s">
        <v>560</v>
      </c>
      <c r="F19" s="3" t="s">
        <v>699</v>
      </c>
      <c r="G19" s="15">
        <v>5</v>
      </c>
      <c r="H19" s="5" t="s">
        <v>4925</v>
      </c>
      <c r="I19" s="5"/>
    </row>
    <row r="20" spans="1:9" ht="15.9" customHeight="1">
      <c r="A20" s="4">
        <v>16</v>
      </c>
      <c r="B20" s="3" t="str">
        <f>HYPERLINK("https://www.icami.org/","International Committee Against Mental Illness")</f>
        <v>International Committee Against Mental Illness</v>
      </c>
      <c r="C20" s="5" t="s">
        <v>14</v>
      </c>
      <c r="D20" s="5" t="s">
        <v>14</v>
      </c>
      <c r="E20" s="5" t="s">
        <v>18</v>
      </c>
      <c r="F20" s="3" t="s">
        <v>648</v>
      </c>
      <c r="G20" s="15">
        <v>4</v>
      </c>
      <c r="H20" s="5" t="s">
        <v>4925</v>
      </c>
      <c r="I20" s="5"/>
    </row>
    <row r="21" spans="1:9" ht="15.9" customHeight="1">
      <c r="A21" s="4">
        <v>17</v>
      </c>
      <c r="B21" s="3" t="str">
        <f>HYPERLINK("https://icpweb.org/","International Council of Psychologists")</f>
        <v>International Council of Psychologists</v>
      </c>
      <c r="C21" s="5" t="s">
        <v>14</v>
      </c>
      <c r="D21" s="5" t="s">
        <v>14</v>
      </c>
      <c r="E21" s="5" t="s">
        <v>18</v>
      </c>
      <c r="F21" s="3" t="s">
        <v>586</v>
      </c>
      <c r="G21" s="15">
        <v>5</v>
      </c>
      <c r="H21" s="5" t="s">
        <v>4925</v>
      </c>
      <c r="I21" s="5"/>
    </row>
    <row r="22" spans="1:9" ht="15.9" customHeight="1">
      <c r="A22" s="4">
        <v>18</v>
      </c>
      <c r="B22" s="3" t="str">
        <f>HYPERLINK("https://iepa.org.au/","International Early Psychosis Association")</f>
        <v>International Early Psychosis Association</v>
      </c>
      <c r="C22" s="5" t="s">
        <v>14</v>
      </c>
      <c r="D22" s="5" t="s">
        <v>14</v>
      </c>
      <c r="E22" s="5" t="s">
        <v>717</v>
      </c>
      <c r="F22" s="3" t="s">
        <v>587</v>
      </c>
      <c r="G22" s="15">
        <v>3</v>
      </c>
      <c r="H22" s="5" t="s">
        <v>4325</v>
      </c>
      <c r="I22" s="5"/>
    </row>
    <row r="23" spans="1:9" ht="15.9" customHeight="1">
      <c r="A23" s="4">
        <v>19</v>
      </c>
      <c r="B23" s="3" t="str">
        <f>HYPERLINK("https://inawebsite.org/","International Neuropsychiatric Association")</f>
        <v>International Neuropsychiatric Association</v>
      </c>
      <c r="C23" s="5" t="s">
        <v>14</v>
      </c>
      <c r="D23" s="5" t="s">
        <v>14</v>
      </c>
      <c r="E23" s="5" t="s">
        <v>17</v>
      </c>
      <c r="F23" s="3" t="s">
        <v>556</v>
      </c>
      <c r="G23" s="15">
        <v>3</v>
      </c>
      <c r="H23" s="5" t="s">
        <v>4325</v>
      </c>
      <c r="I23" s="5"/>
    </row>
    <row r="24" spans="1:9" ht="15.9" customHeight="1">
      <c r="A24" s="4">
        <v>20</v>
      </c>
      <c r="B24" s="3" t="str">
        <f>HYPERLINK("https://the-ins.org/","International Neuropsychological Society")</f>
        <v>International Neuropsychological Society</v>
      </c>
      <c r="C24" s="5" t="s">
        <v>14</v>
      </c>
      <c r="D24" s="5" t="s">
        <v>14</v>
      </c>
      <c r="E24" s="5" t="s">
        <v>18</v>
      </c>
      <c r="F24" s="3" t="s">
        <v>601</v>
      </c>
      <c r="G24" s="15">
        <v>5</v>
      </c>
      <c r="H24" s="5" t="s">
        <v>4925</v>
      </c>
      <c r="I24" s="5"/>
    </row>
    <row r="25" spans="1:9" ht="15.9" customHeight="1">
      <c r="A25" s="4">
        <v>21</v>
      </c>
      <c r="B25" s="3" t="str">
        <f>HYPERLINK("https://www.ioptmh.org/","International Organization of Physical Therapists in Mental Health")</f>
        <v>International Organization of Physical Therapists in Mental Health</v>
      </c>
      <c r="C25" s="5" t="s">
        <v>14</v>
      </c>
      <c r="D25" s="5" t="s">
        <v>14</v>
      </c>
      <c r="E25" s="5" t="s">
        <v>17</v>
      </c>
      <c r="F25" s="3" t="s">
        <v>642</v>
      </c>
      <c r="G25" s="15">
        <v>4</v>
      </c>
      <c r="H25" s="5" t="s">
        <v>4925</v>
      </c>
      <c r="I25" s="5"/>
    </row>
    <row r="26" spans="1:9" ht="15.9" customHeight="1">
      <c r="A26" s="4">
        <v>22</v>
      </c>
      <c r="B26" s="3" t="str">
        <f>HYPERLINK("https://www.ipa.world/","International Psychoanalytic Association")</f>
        <v>International Psychoanalytic Association</v>
      </c>
      <c r="C26" s="5" t="s">
        <v>14</v>
      </c>
      <c r="D26" s="5" t="s">
        <v>14</v>
      </c>
      <c r="E26" s="5" t="s">
        <v>17</v>
      </c>
      <c r="F26" s="3" t="s">
        <v>588</v>
      </c>
      <c r="G26" s="15">
        <v>5</v>
      </c>
      <c r="H26" s="5" t="s">
        <v>4925</v>
      </c>
      <c r="I26" s="5"/>
    </row>
    <row r="27" spans="1:9" ht="15.9" customHeight="1">
      <c r="A27" s="4">
        <v>23</v>
      </c>
      <c r="B27" s="3" t="str">
        <f>HYPERLINK("https://www.ipa-online.org/","International Psychogeriatric Association")</f>
        <v>International Psychogeriatric Association</v>
      </c>
      <c r="C27" s="5" t="s">
        <v>14</v>
      </c>
      <c r="D27" s="5" t="s">
        <v>14</v>
      </c>
      <c r="E27" s="5" t="s">
        <v>18</v>
      </c>
      <c r="F27" s="3" t="s">
        <v>4421</v>
      </c>
      <c r="G27" s="15">
        <v>5</v>
      </c>
      <c r="H27" s="5" t="s">
        <v>4925</v>
      </c>
      <c r="I27" s="5"/>
    </row>
    <row r="28" spans="1:9" ht="15.9" customHeight="1">
      <c r="A28" s="4">
        <v>24</v>
      </c>
      <c r="B28" s="3" t="str">
        <f>HYPERLINK("https://isbngroup.net/","International Society for Behavioural Neuroscience")</f>
        <v>International Society for Behavioural Neuroscience</v>
      </c>
      <c r="C28" s="5" t="s">
        <v>14</v>
      </c>
      <c r="D28" s="5" t="s">
        <v>14</v>
      </c>
      <c r="E28" s="5" t="s">
        <v>18</v>
      </c>
      <c r="F28" s="3" t="s">
        <v>4306</v>
      </c>
      <c r="G28" s="15">
        <v>8</v>
      </c>
      <c r="H28" s="5" t="s">
        <v>4925</v>
      </c>
      <c r="I28" s="5"/>
    </row>
    <row r="29" spans="1:9" ht="15.9" customHeight="1">
      <c r="A29" s="4">
        <v>25</v>
      </c>
      <c r="B29" s="3" t="str">
        <f>HYPERLINK("https://isnip.org/","International Society for Neuroimaging in Psychiatry")</f>
        <v>International Society for Neuroimaging in Psychiatry</v>
      </c>
      <c r="C29" s="5" t="s">
        <v>14</v>
      </c>
      <c r="D29" s="5" t="s">
        <v>14</v>
      </c>
      <c r="E29" s="5" t="s">
        <v>27</v>
      </c>
      <c r="F29" s="3" t="s">
        <v>652</v>
      </c>
      <c r="G29" s="15">
        <v>4</v>
      </c>
      <c r="H29" s="5" t="s">
        <v>4925</v>
      </c>
      <c r="I29" s="5"/>
    </row>
    <row r="30" spans="1:9" ht="15.9" customHeight="1">
      <c r="A30" s="4">
        <v>26</v>
      </c>
      <c r="B30" s="3" t="str">
        <f>HYPERLINK("https://isps.org/","International Society for Psychological and Social Approaches to Psychosis")</f>
        <v>International Society for Psychological and Social Approaches to Psychosis</v>
      </c>
      <c r="C30" s="5" t="s">
        <v>14</v>
      </c>
      <c r="D30" s="5" t="s">
        <v>14</v>
      </c>
      <c r="E30" s="5" t="s">
        <v>4924</v>
      </c>
      <c r="F30" s="3" t="s">
        <v>630</v>
      </c>
      <c r="G30" s="15">
        <v>3</v>
      </c>
      <c r="H30" s="5" t="s">
        <v>4325</v>
      </c>
      <c r="I30" s="5"/>
    </row>
    <row r="31" spans="1:9" ht="15.9" customHeight="1">
      <c r="A31" s="4">
        <v>27</v>
      </c>
      <c r="B31" s="3" t="str">
        <f>HYPERLINK("http://www.isnerem.com/","International Society of Neurology and Rehabilitation Medicine")</f>
        <v>International Society of Neurology and Rehabilitation Medicine</v>
      </c>
      <c r="C31" s="5" t="s">
        <v>14</v>
      </c>
      <c r="D31" s="5" t="s">
        <v>14</v>
      </c>
      <c r="E31" s="5" t="s">
        <v>27</v>
      </c>
      <c r="F31" s="3" t="s">
        <v>656</v>
      </c>
      <c r="G31" s="15">
        <v>8</v>
      </c>
      <c r="H31" s="5" t="s">
        <v>4925</v>
      </c>
      <c r="I31" s="5"/>
    </row>
    <row r="32" spans="1:9" ht="15.9" customHeight="1">
      <c r="A32" s="4">
        <v>28</v>
      </c>
      <c r="B32" s="3" t="str">
        <f>HYPERLINK("https://www.ispn-psych.org/","International Society of Psychiatric-Mental Health Nurses")</f>
        <v>International Society of Psychiatric-Mental Health Nurses</v>
      </c>
      <c r="C32" s="5" t="s">
        <v>14</v>
      </c>
      <c r="D32" s="5" t="s">
        <v>14</v>
      </c>
      <c r="E32" s="5" t="s">
        <v>18</v>
      </c>
      <c r="F32" s="3" t="s">
        <v>637</v>
      </c>
      <c r="G32" s="15">
        <v>4</v>
      </c>
      <c r="H32" s="5" t="s">
        <v>4925</v>
      </c>
      <c r="I32" s="5"/>
    </row>
    <row r="33" spans="1:9" ht="15.9" customHeight="1">
      <c r="A33" s="4">
        <v>29</v>
      </c>
      <c r="B33" s="3" t="str">
        <f>HYPERLINK("https://istaart.alz.org/home","International Society to Advance Alzheimer's Research and Treatment (ISTAART)")</f>
        <v>International Society to Advance Alzheimer's Research and Treatment (ISTAART)</v>
      </c>
      <c r="C33" s="5" t="s">
        <v>14</v>
      </c>
      <c r="D33" s="5" t="s">
        <v>14</v>
      </c>
      <c r="E33" s="5" t="s">
        <v>18</v>
      </c>
      <c r="F33" s="3" t="s">
        <v>4450</v>
      </c>
      <c r="G33" s="15">
        <v>6</v>
      </c>
      <c r="H33" s="5" t="s">
        <v>4335</v>
      </c>
      <c r="I33" s="5"/>
    </row>
    <row r="34" spans="1:9" ht="15.9" customHeight="1">
      <c r="A34" s="4">
        <v>30</v>
      </c>
      <c r="B34" s="3" t="str">
        <f>HYPERLINK("https://schizophreniaresearchsociety.org/","Schizophrenia International Research Society")</f>
        <v>Schizophrenia International Research Society</v>
      </c>
      <c r="C34" s="5" t="s">
        <v>14</v>
      </c>
      <c r="D34" s="5" t="s">
        <v>14</v>
      </c>
      <c r="E34" s="5" t="s">
        <v>18</v>
      </c>
      <c r="F34" s="3" t="s">
        <v>550</v>
      </c>
      <c r="G34" s="15">
        <v>1</v>
      </c>
      <c r="H34" s="5" t="s">
        <v>371</v>
      </c>
      <c r="I34" s="5"/>
    </row>
    <row r="35" spans="1:9" ht="15.9" customHeight="1">
      <c r="A35" s="4">
        <v>31</v>
      </c>
      <c r="B35" s="3" t="str">
        <f>HYPERLINK("http://www.szgene.org/","Schizophrenia Research Forum")</f>
        <v>Schizophrenia Research Forum</v>
      </c>
      <c r="C35" s="5" t="s">
        <v>14</v>
      </c>
      <c r="D35" s="5" t="s">
        <v>14</v>
      </c>
      <c r="E35" s="5" t="s">
        <v>18</v>
      </c>
      <c r="F35" s="3" t="s">
        <v>701</v>
      </c>
      <c r="G35" s="15">
        <v>1</v>
      </c>
      <c r="H35" s="5" t="s">
        <v>371</v>
      </c>
      <c r="I35" s="5"/>
    </row>
    <row r="36" spans="1:9" ht="15.9" customHeight="1">
      <c r="A36" s="4">
        <v>32</v>
      </c>
      <c r="B36" s="3" t="str">
        <f>HYPERLINK("https://www.sfn.org/","Society for Neuroscience")</f>
        <v>Society for Neuroscience</v>
      </c>
      <c r="C36" s="5" t="s">
        <v>14</v>
      </c>
      <c r="D36" s="5" t="s">
        <v>14</v>
      </c>
      <c r="E36" s="5" t="s">
        <v>18</v>
      </c>
      <c r="F36" s="3" t="s">
        <v>658</v>
      </c>
      <c r="G36" s="15">
        <v>8</v>
      </c>
      <c r="H36" s="5" t="s">
        <v>4925</v>
      </c>
      <c r="I36" s="5"/>
    </row>
    <row r="37" spans="1:9" ht="15.9" customHeight="1">
      <c r="A37" s="4">
        <v>33</v>
      </c>
      <c r="B37" s="3" t="str">
        <f>HYPERLINK("https://unitedgmh.org/","United for Global Mental Health")</f>
        <v>United for Global Mental Health</v>
      </c>
      <c r="C37" s="5" t="s">
        <v>14</v>
      </c>
      <c r="D37" s="5" t="s">
        <v>14</v>
      </c>
      <c r="E37" s="5" t="s">
        <v>17</v>
      </c>
      <c r="F37" s="3" t="s">
        <v>645</v>
      </c>
      <c r="G37" s="15">
        <v>4</v>
      </c>
      <c r="H37" s="5" t="s">
        <v>4925</v>
      </c>
      <c r="I37" s="5"/>
    </row>
    <row r="38" spans="1:9" ht="15.9" customHeight="1">
      <c r="A38" s="4">
        <v>34</v>
      </c>
      <c r="B38" s="3" t="str">
        <f>HYPERLINK("https://www.pce-world.org/","World Association for Person-Centered and Experiential Psychotherapy and Counseling")</f>
        <v>World Association for Person-Centered and Experiential Psychotherapy and Counseling</v>
      </c>
      <c r="C38" s="5" t="s">
        <v>14</v>
      </c>
      <c r="D38" s="5" t="s">
        <v>14</v>
      </c>
      <c r="E38" s="5" t="s">
        <v>560</v>
      </c>
      <c r="F38" s="3" t="s">
        <v>566</v>
      </c>
      <c r="G38" s="15">
        <v>5</v>
      </c>
      <c r="H38" s="5" t="s">
        <v>4925</v>
      </c>
      <c r="I38" s="5"/>
    </row>
    <row r="39" spans="1:9" ht="15.9" customHeight="1">
      <c r="A39" s="4">
        <v>35</v>
      </c>
      <c r="B39" s="3" t="str">
        <f>HYPERLINK("https://www.wapr.org/","World Association for Psychosocial Rehabilitation")</f>
        <v>World Association for Psychosocial Rehabilitation</v>
      </c>
      <c r="C39" s="5" t="s">
        <v>14</v>
      </c>
      <c r="D39" s="5" t="s">
        <v>14</v>
      </c>
      <c r="E39" s="5" t="s">
        <v>16</v>
      </c>
      <c r="F39" s="3" t="s">
        <v>710</v>
      </c>
      <c r="G39" s="15">
        <v>5</v>
      </c>
      <c r="H39" s="5" t="s">
        <v>4925</v>
      </c>
      <c r="I39" s="5"/>
    </row>
    <row r="40" spans="1:9" ht="15.9" customHeight="1">
      <c r="A40" s="4">
        <v>36</v>
      </c>
      <c r="B40" s="3" t="str">
        <f>HYPERLINK("https://www.worldpsyche.org/","World Council for Psychotherapy")</f>
        <v>World Council for Psychotherapy</v>
      </c>
      <c r="C40" s="5" t="s">
        <v>14</v>
      </c>
      <c r="D40" s="5" t="s">
        <v>14</v>
      </c>
      <c r="E40" s="5" t="s">
        <v>560</v>
      </c>
      <c r="F40" s="3" t="s">
        <v>561</v>
      </c>
      <c r="G40" s="15">
        <v>5</v>
      </c>
      <c r="H40" s="5" t="s">
        <v>4925</v>
      </c>
      <c r="I40" s="5"/>
    </row>
    <row r="41" spans="1:9" ht="15.9" customHeight="1">
      <c r="A41" s="4">
        <v>37</v>
      </c>
      <c r="B41" s="3" t="str">
        <f>HYPERLINK("https://wfneurology.org/","World Federation of Neurology")</f>
        <v>World Federation of Neurology</v>
      </c>
      <c r="C41" s="5" t="s">
        <v>14</v>
      </c>
      <c r="D41" s="5" t="s">
        <v>14</v>
      </c>
      <c r="E41" s="5" t="s">
        <v>17</v>
      </c>
      <c r="F41" s="3" t="s">
        <v>653</v>
      </c>
      <c r="G41" s="15">
        <v>8</v>
      </c>
      <c r="H41" s="5" t="s">
        <v>4925</v>
      </c>
      <c r="I41" s="5"/>
    </row>
    <row r="42" spans="1:9" ht="15.9" customHeight="1">
      <c r="A42" s="4">
        <v>38</v>
      </c>
      <c r="B42" s="3" t="str">
        <f>HYPERLINK("https://wfsbp.org/","World Federation of Societies of Biological Psychiatry")</f>
        <v>World Federation of Societies of Biological Psychiatry</v>
      </c>
      <c r="C42" s="5" t="s">
        <v>14</v>
      </c>
      <c r="D42" s="5" t="s">
        <v>14</v>
      </c>
      <c r="E42" s="5" t="s">
        <v>712</v>
      </c>
      <c r="F42" s="3" t="s">
        <v>713</v>
      </c>
      <c r="G42" s="15">
        <v>4</v>
      </c>
      <c r="H42" s="5" t="s">
        <v>4925</v>
      </c>
      <c r="I42" s="5"/>
    </row>
    <row r="43" spans="1:9" ht="15.9" customHeight="1">
      <c r="A43" s="4">
        <v>39</v>
      </c>
      <c r="B43" s="3" t="str">
        <f>HYPERLINK("https://www.wpanet.org/","World Psychiatric Association")</f>
        <v>World Psychiatric Association</v>
      </c>
      <c r="C43" s="5" t="s">
        <v>14</v>
      </c>
      <c r="D43" s="5" t="s">
        <v>14</v>
      </c>
      <c r="E43" s="5" t="s">
        <v>27</v>
      </c>
      <c r="F43" s="3" t="s">
        <v>664</v>
      </c>
      <c r="G43" s="15">
        <v>4</v>
      </c>
      <c r="H43" s="5" t="s">
        <v>4925</v>
      </c>
      <c r="I43" s="5"/>
    </row>
    <row r="44" spans="1:9" ht="15.9" customHeight="1">
      <c r="A44" s="4">
        <v>40</v>
      </c>
      <c r="B44" s="3" t="str">
        <f>HYPERLINK("https://www.afpa.asia/","Asian Federation of Psychiatric Associations (AFPA)")</f>
        <v>Asian Federation of Psychiatric Associations (AFPA)</v>
      </c>
      <c r="C44" s="5" t="s">
        <v>321</v>
      </c>
      <c r="D44" s="5" t="s">
        <v>622</v>
      </c>
      <c r="E44" s="5" t="s">
        <v>316</v>
      </c>
      <c r="F44" s="3" t="s">
        <v>623</v>
      </c>
      <c r="G44" s="15">
        <v>4</v>
      </c>
      <c r="H44" s="5" t="s">
        <v>4925</v>
      </c>
      <c r="I44" s="5"/>
    </row>
    <row r="45" spans="1:9" ht="15.9" customHeight="1">
      <c r="A45" s="4">
        <v>41</v>
      </c>
      <c r="B45" s="3" t="str">
        <f>HYPERLINK("https://www.ean.org/","European Academy of Neurology")</f>
        <v>European Academy of Neurology</v>
      </c>
      <c r="C45" s="5" t="s">
        <v>321</v>
      </c>
      <c r="D45" s="5" t="s">
        <v>322</v>
      </c>
      <c r="E45" s="5" t="s">
        <v>560</v>
      </c>
      <c r="F45" s="3" t="s">
        <v>654</v>
      </c>
      <c r="G45" s="15">
        <v>8</v>
      </c>
      <c r="H45" s="5" t="s">
        <v>4925</v>
      </c>
      <c r="I45" s="5"/>
    </row>
    <row r="46" spans="1:9" ht="15.9" customHeight="1">
      <c r="A46" s="4">
        <v>42</v>
      </c>
      <c r="B46" s="3" t="str">
        <f>HYPERLINK("https://eadc.online/","European Alzheimer Disease Consortium")</f>
        <v>European Alzheimer Disease Consortium</v>
      </c>
      <c r="C46" s="5" t="s">
        <v>321</v>
      </c>
      <c r="D46" s="5" t="s">
        <v>322</v>
      </c>
      <c r="E46" s="5" t="s">
        <v>295</v>
      </c>
      <c r="F46" s="3" t="s">
        <v>4452</v>
      </c>
      <c r="G46" s="15">
        <v>6</v>
      </c>
      <c r="H46" s="5" t="s">
        <v>4335</v>
      </c>
      <c r="I46" s="5"/>
    </row>
    <row r="47" spans="1:9" ht="15.9" customHeight="1">
      <c r="A47" s="4">
        <v>43</v>
      </c>
      <c r="B47" s="3" t="str">
        <f>HYPERLINK("https://www.euroaip.eu/","European Association for Integrative Psychotherapy")</f>
        <v>European Association for Integrative Psychotherapy</v>
      </c>
      <c r="C47" s="5" t="s">
        <v>321</v>
      </c>
      <c r="D47" s="5" t="s">
        <v>322</v>
      </c>
      <c r="E47" s="5" t="s">
        <v>562</v>
      </c>
      <c r="F47" s="3" t="s">
        <v>563</v>
      </c>
      <c r="G47" s="15">
        <v>5</v>
      </c>
      <c r="H47" s="5" t="s">
        <v>4925</v>
      </c>
      <c r="I47" s="5"/>
    </row>
    <row r="48" spans="1:9" ht="15.9" customHeight="1">
      <c r="A48" s="4">
        <v>44</v>
      </c>
      <c r="B48" s="3" t="str">
        <f>HYPERLINK("https://www.europsyche.org/","European Association for Psychotherapy")</f>
        <v>European Association for Psychotherapy</v>
      </c>
      <c r="C48" s="5" t="s">
        <v>321</v>
      </c>
      <c r="D48" s="5" t="s">
        <v>322</v>
      </c>
      <c r="E48" s="5" t="s">
        <v>560</v>
      </c>
      <c r="F48" s="3" t="s">
        <v>564</v>
      </c>
      <c r="G48" s="15">
        <v>5</v>
      </c>
      <c r="H48" s="5" t="s">
        <v>4925</v>
      </c>
      <c r="I48" s="5"/>
    </row>
    <row r="49" spans="1:9" ht="15.9" customHeight="1">
      <c r="A49" s="4">
        <v>45</v>
      </c>
      <c r="B49" s="3" t="str">
        <f>HYPERLINK("https://www.eaclipt.org/","European Association of Clinical Psychology and Psychological Treatment")</f>
        <v>European Association of Clinical Psychology and Psychological Treatment</v>
      </c>
      <c r="C49" s="5" t="s">
        <v>321</v>
      </c>
      <c r="D49" s="5" t="s">
        <v>322</v>
      </c>
      <c r="E49" s="5" t="s">
        <v>323</v>
      </c>
      <c r="F49" s="3" t="s">
        <v>584</v>
      </c>
      <c r="G49" s="15">
        <v>5</v>
      </c>
      <c r="H49" s="5" t="s">
        <v>4925</v>
      </c>
      <c r="I49" s="5"/>
    </row>
    <row r="50" spans="1:9" ht="15.9" customHeight="1">
      <c r="A50" s="4">
        <v>46</v>
      </c>
      <c r="B50" s="3" t="str">
        <f>HYPERLINK("https://www.eagp.com/","European Association of Geriatric Psychiatry")</f>
        <v>European Association of Geriatric Psychiatry</v>
      </c>
      <c r="C50" s="5" t="s">
        <v>321</v>
      </c>
      <c r="D50" s="5" t="s">
        <v>322</v>
      </c>
      <c r="E50" s="5" t="s">
        <v>295</v>
      </c>
      <c r="F50" s="3" t="s">
        <v>646</v>
      </c>
      <c r="G50" s="15">
        <v>4</v>
      </c>
      <c r="H50" s="5" t="s">
        <v>4925</v>
      </c>
      <c r="I50" s="5"/>
    </row>
    <row r="51" spans="1:9" ht="15.9" customHeight="1">
      <c r="A51" s="4">
        <v>47</v>
      </c>
      <c r="B51" s="3" t="str">
        <f>HYPERLINK("https://www.uems-neuroboard.org/web/","European Board of Neurology")</f>
        <v>European Board of Neurology</v>
      </c>
      <c r="C51" s="5" t="s">
        <v>321</v>
      </c>
      <c r="D51" s="5" t="s">
        <v>322</v>
      </c>
      <c r="E51" s="5" t="s">
        <v>560</v>
      </c>
      <c r="F51" s="3" t="s">
        <v>655</v>
      </c>
      <c r="G51" s="15">
        <v>8</v>
      </c>
      <c r="H51" s="5" t="s">
        <v>4925</v>
      </c>
      <c r="I51" s="5"/>
    </row>
    <row r="52" spans="1:9" ht="15.9" customHeight="1">
      <c r="A52" s="4">
        <v>48</v>
      </c>
      <c r="B52" s="3" t="str">
        <f>HYPERLINK("https://www.braincouncil.eu/","European Brain Council")</f>
        <v>European Brain Council</v>
      </c>
      <c r="C52" s="5" t="s">
        <v>321</v>
      </c>
      <c r="D52" s="5" t="s">
        <v>322</v>
      </c>
      <c r="E52" s="5" t="s">
        <v>25</v>
      </c>
      <c r="F52" s="3" t="s">
        <v>711</v>
      </c>
      <c r="G52" s="15">
        <v>5</v>
      </c>
      <c r="H52" s="5" t="s">
        <v>4925</v>
      </c>
      <c r="I52" s="5"/>
    </row>
    <row r="53" spans="1:9" ht="15.9" customHeight="1">
      <c r="A53" s="4">
        <v>49</v>
      </c>
      <c r="B53" s="3" t="str">
        <f>HYPERLINK("https://www.ecnp.eu/","European College of Neuropsychopharmacology")</f>
        <v>European College of Neuropsychopharmacology</v>
      </c>
      <c r="C53" s="5" t="s">
        <v>321</v>
      </c>
      <c r="D53" s="5" t="s">
        <v>322</v>
      </c>
      <c r="E53" s="5" t="s">
        <v>323</v>
      </c>
      <c r="F53" s="3" t="s">
        <v>698</v>
      </c>
      <c r="G53" s="15">
        <v>5</v>
      </c>
      <c r="H53" s="5" t="s">
        <v>4925</v>
      </c>
      <c r="I53" s="5"/>
    </row>
    <row r="54" spans="1:9" ht="15.9" customHeight="1">
      <c r="A54" s="4">
        <v>50</v>
      </c>
      <c r="B54" s="3" t="str">
        <f>HYPERLINK("https://efpp.org/","European Federation for Psychoanalytic Psychotherapy")</f>
        <v>European Federation for Psychoanalytic Psychotherapy</v>
      </c>
      <c r="C54" s="5" t="s">
        <v>321</v>
      </c>
      <c r="D54" s="5" t="s">
        <v>322</v>
      </c>
      <c r="E54" s="5" t="s">
        <v>17</v>
      </c>
      <c r="F54" s="3" t="s">
        <v>565</v>
      </c>
      <c r="G54" s="15">
        <v>5</v>
      </c>
      <c r="H54" s="5" t="s">
        <v>4925</v>
      </c>
      <c r="I54" s="5"/>
    </row>
    <row r="55" spans="1:9" ht="15.9" customHeight="1">
      <c r="A55" s="4">
        <v>51</v>
      </c>
      <c r="B55" s="3" t="str">
        <f>HYPERLINK("https://www.efpa.eu/","European Federation of Psychologists' Associations")</f>
        <v>European Federation of Psychologists' Associations</v>
      </c>
      <c r="C55" s="5" t="s">
        <v>321</v>
      </c>
      <c r="D55" s="5" t="s">
        <v>322</v>
      </c>
      <c r="E55" s="5" t="s">
        <v>25</v>
      </c>
      <c r="F55" s="3" t="s">
        <v>585</v>
      </c>
      <c r="G55" s="15">
        <v>5</v>
      </c>
      <c r="H55" s="5" t="s">
        <v>4925</v>
      </c>
      <c r="I55" s="5"/>
    </row>
    <row r="56" spans="1:9" ht="15.9" customHeight="1">
      <c r="A56" s="4">
        <v>52</v>
      </c>
      <c r="B56" s="3" t="str">
        <f>HYPERLINK("https://www.eugms.org/home.html","European Geriatric Medicine Society")</f>
        <v>European Geriatric Medicine Society</v>
      </c>
      <c r="C56" s="5" t="s">
        <v>321</v>
      </c>
      <c r="D56" s="5" t="s">
        <v>322</v>
      </c>
      <c r="E56" s="5" t="s">
        <v>16</v>
      </c>
      <c r="F56" s="3" t="s">
        <v>4427</v>
      </c>
      <c r="G56" s="15">
        <v>9</v>
      </c>
      <c r="H56" s="5" t="s">
        <v>4925</v>
      </c>
      <c r="I56" s="5"/>
    </row>
    <row r="57" spans="1:9" ht="15.9" customHeight="1">
      <c r="A57" s="4">
        <v>53</v>
      </c>
      <c r="B57" s="3" t="str">
        <f>HYPERLINK("https://ehps.net/","European Health Psychology Society")</f>
        <v>European Health Psychology Society</v>
      </c>
      <c r="C57" s="5" t="s">
        <v>321</v>
      </c>
      <c r="D57" s="5" t="s">
        <v>322</v>
      </c>
      <c r="E57" s="5" t="s">
        <v>17</v>
      </c>
      <c r="F57" s="3" t="s">
        <v>612</v>
      </c>
      <c r="G57" s="15">
        <v>5</v>
      </c>
      <c r="H57" s="5" t="s">
        <v>4925</v>
      </c>
      <c r="I57" s="5"/>
    </row>
    <row r="58" spans="1:9" ht="15.9" customHeight="1">
      <c r="A58" s="4">
        <v>54</v>
      </c>
      <c r="B58" s="3" t="str">
        <f>HYPERLINK("https://www.pce-europe.org/","European Network for Person-Centred and Experiential Psychotherapy and Counselling")</f>
        <v>European Network for Person-Centred and Experiential Psychotherapy and Counselling</v>
      </c>
      <c r="C58" s="5" t="s">
        <v>321</v>
      </c>
      <c r="D58" s="5" t="s">
        <v>322</v>
      </c>
      <c r="E58" s="5" t="s">
        <v>560</v>
      </c>
      <c r="F58" s="3" t="s">
        <v>567</v>
      </c>
      <c r="G58" s="15">
        <v>5</v>
      </c>
      <c r="H58" s="5" t="s">
        <v>4925</v>
      </c>
      <c r="I58" s="5"/>
    </row>
    <row r="59" spans="1:9" ht="15.9" customHeight="1">
      <c r="A59" s="4">
        <v>55</v>
      </c>
      <c r="B59" s="3" t="str">
        <f>HYPERLINK("https://enpp.eu/","European Network for Positive Psychology")</f>
        <v>European Network for Positive Psychology</v>
      </c>
      <c r="C59" s="5" t="s">
        <v>321</v>
      </c>
      <c r="D59" s="5" t="s">
        <v>322</v>
      </c>
      <c r="E59" s="5"/>
      <c r="F59" s="3" t="s">
        <v>715</v>
      </c>
      <c r="G59" s="15">
        <v>5</v>
      </c>
      <c r="H59" s="5" t="s">
        <v>4925</v>
      </c>
      <c r="I59" s="5"/>
    </row>
    <row r="60" spans="1:9" ht="15.9" customHeight="1">
      <c r="A60" s="4">
        <v>56</v>
      </c>
      <c r="B60" s="3" t="str">
        <f>HYPERLINK("https://ep-ad.org/","European Prevention of Alzheimer's Dementia (EPAD) Consortium")</f>
        <v>European Prevention of Alzheimer's Dementia (EPAD) Consortium</v>
      </c>
      <c r="C60" s="5" t="s">
        <v>321</v>
      </c>
      <c r="D60" s="5" t="s">
        <v>322</v>
      </c>
      <c r="E60" s="5" t="s">
        <v>17</v>
      </c>
      <c r="F60" s="3" t="s">
        <v>4451</v>
      </c>
      <c r="G60" s="15">
        <v>6</v>
      </c>
      <c r="H60" s="5" t="s">
        <v>4335</v>
      </c>
      <c r="I60" s="5"/>
    </row>
    <row r="61" spans="1:9" ht="15.9" customHeight="1">
      <c r="A61" s="4">
        <v>57</v>
      </c>
      <c r="B61" s="3" t="str">
        <f>HYPERLINK("https://www.europsy.net/","European Psychiatric Association")</f>
        <v>European Psychiatric Association</v>
      </c>
      <c r="C61" s="5" t="s">
        <v>321</v>
      </c>
      <c r="D61" s="5" t="s">
        <v>322</v>
      </c>
      <c r="E61" s="5" t="s">
        <v>292</v>
      </c>
      <c r="F61" s="3" t="s">
        <v>639</v>
      </c>
      <c r="G61" s="15">
        <v>4</v>
      </c>
      <c r="H61" s="5" t="s">
        <v>4925</v>
      </c>
      <c r="I61" s="5"/>
    </row>
    <row r="62" spans="1:9" ht="15.9" customHeight="1">
      <c r="A62" s="4">
        <v>58</v>
      </c>
      <c r="B62" s="3" t="str">
        <f>HYPERLINK("https://esasnet.eu/","European Scientific Association on Schizophrenia and other Psychoses")</f>
        <v>European Scientific Association on Schizophrenia and other Psychoses</v>
      </c>
      <c r="C62" s="5" t="s">
        <v>321</v>
      </c>
      <c r="D62" s="5" t="s">
        <v>322</v>
      </c>
      <c r="E62" s="5" t="s">
        <v>27</v>
      </c>
      <c r="F62" s="3" t="s">
        <v>557</v>
      </c>
      <c r="G62" s="15">
        <v>1</v>
      </c>
      <c r="H62" s="5" t="s">
        <v>371</v>
      </c>
      <c r="I62" s="5"/>
    </row>
    <row r="63" spans="1:9" ht="15.9" customHeight="1">
      <c r="A63" s="4">
        <v>59</v>
      </c>
      <c r="B63" s="3" t="str">
        <f>HYPERLINK("https://www.escap.eu/","European Society for Child and Adolescent Psychiatry")</f>
        <v>European Society for Child and Adolescent Psychiatry</v>
      </c>
      <c r="C63" s="5" t="s">
        <v>321</v>
      </c>
      <c r="D63" s="5" t="s">
        <v>322</v>
      </c>
      <c r="E63" s="5" t="s">
        <v>27</v>
      </c>
      <c r="F63" s="3" t="s">
        <v>651</v>
      </c>
      <c r="G63" s="15">
        <v>4</v>
      </c>
      <c r="H63" s="5" t="s">
        <v>4925</v>
      </c>
      <c r="I63" s="5"/>
    </row>
    <row r="64" spans="1:9" ht="15.9" customHeight="1">
      <c r="A64" s="4">
        <v>60</v>
      </c>
      <c r="B64" s="3" t="str">
        <f>HYPERLINK("https://www.fens.org/","Federation of European Neuroscience Societies (FENS)")</f>
        <v>Federation of European Neuroscience Societies (FENS)</v>
      </c>
      <c r="C64" s="5" t="s">
        <v>321</v>
      </c>
      <c r="D64" s="5" t="s">
        <v>322</v>
      </c>
      <c r="E64" s="5" t="s">
        <v>292</v>
      </c>
      <c r="F64" s="3" t="s">
        <v>685</v>
      </c>
      <c r="G64" s="15">
        <v>8</v>
      </c>
      <c r="H64" s="5" t="s">
        <v>4925</v>
      </c>
      <c r="I64" s="5"/>
    </row>
    <row r="65" spans="1:9" ht="15.9" customHeight="1">
      <c r="A65" s="4">
        <v>61</v>
      </c>
      <c r="B65" s="3" t="str">
        <f>HYPERLINK("https://www.fesn.eu/","Federation of the European Societies of Neuropsychology")</f>
        <v>Federation of the European Societies of Neuropsychology</v>
      </c>
      <c r="C65" s="5" t="s">
        <v>321</v>
      </c>
      <c r="D65" s="5" t="s">
        <v>322</v>
      </c>
      <c r="E65" s="5" t="s">
        <v>560</v>
      </c>
      <c r="F65" s="3" t="s">
        <v>605</v>
      </c>
      <c r="G65" s="15">
        <v>5</v>
      </c>
      <c r="H65" s="5" t="s">
        <v>4925</v>
      </c>
      <c r="I65" s="5"/>
    </row>
    <row r="66" spans="1:9" ht="15.9" customHeight="1">
      <c r="A66" s="4">
        <v>62</v>
      </c>
      <c r="B66" s="3" t="str">
        <f>HYPERLINK("https://www.iagg-er.eu/","International Association of Gerontology and Geriatrics-European Region (IAGG-ER)")</f>
        <v>International Association of Gerontology and Geriatrics-European Region (IAGG-ER)</v>
      </c>
      <c r="C66" s="5" t="s">
        <v>321</v>
      </c>
      <c r="D66" s="5" t="s">
        <v>322</v>
      </c>
      <c r="E66" s="5" t="s">
        <v>25</v>
      </c>
      <c r="F66" s="3" t="s">
        <v>4422</v>
      </c>
      <c r="G66" s="15">
        <v>9</v>
      </c>
      <c r="H66" s="5" t="s">
        <v>4925</v>
      </c>
      <c r="I66" s="5"/>
    </row>
    <row r="67" spans="1:9" ht="15.9" customHeight="1">
      <c r="A67" s="4">
        <v>63</v>
      </c>
      <c r="B67" s="3" t="str">
        <f>HYPERLINK("https://www.mentalhealtheurope.org/","Mental Health Europe")</f>
        <v>Mental Health Europe</v>
      </c>
      <c r="C67" s="5" t="s">
        <v>321</v>
      </c>
      <c r="D67" s="5" t="s">
        <v>322</v>
      </c>
      <c r="E67" s="5" t="s">
        <v>25</v>
      </c>
      <c r="F67" s="3" t="s">
        <v>643</v>
      </c>
      <c r="G67" s="15">
        <v>4</v>
      </c>
      <c r="H67" s="5" t="s">
        <v>4925</v>
      </c>
      <c r="I67" s="5"/>
    </row>
    <row r="68" spans="1:9" ht="15.9" customHeight="1">
      <c r="A68" s="4">
        <v>64</v>
      </c>
      <c r="B68" s="3" t="str">
        <f>HYPERLINK("https://www.cacap-acpea.org/","Canadian Academy of Child and Adolescent Psychiatry")</f>
        <v>Canadian Academy of Child and Adolescent Psychiatry</v>
      </c>
      <c r="C68" s="5" t="s">
        <v>15</v>
      </c>
      <c r="D68" s="5" t="s">
        <v>24</v>
      </c>
      <c r="E68" s="5" t="s">
        <v>24</v>
      </c>
      <c r="F68" s="3" t="s">
        <v>690</v>
      </c>
      <c r="G68" s="15">
        <v>4</v>
      </c>
      <c r="H68" s="5" t="s">
        <v>4925</v>
      </c>
      <c r="I68" s="5"/>
    </row>
    <row r="69" spans="1:9" ht="15.9" customHeight="1">
      <c r="A69" s="4">
        <v>65</v>
      </c>
      <c r="B69" s="3" t="str">
        <f>HYPERLINK("https://www.cagp.ca/","Canadian Academy of Geriatric Psychiatry")</f>
        <v>Canadian Academy of Geriatric Psychiatry</v>
      </c>
      <c r="C69" s="5" t="s">
        <v>15</v>
      </c>
      <c r="D69" s="5" t="s">
        <v>24</v>
      </c>
      <c r="E69" s="5" t="s">
        <v>24</v>
      </c>
      <c r="F69" s="3" t="s">
        <v>670</v>
      </c>
      <c r="G69" s="15">
        <v>4</v>
      </c>
      <c r="H69" s="5" t="s">
        <v>4925</v>
      </c>
      <c r="I69" s="5"/>
    </row>
    <row r="70" spans="1:9" ht="15.9" customHeight="1">
      <c r="A70" s="4">
        <v>66</v>
      </c>
      <c r="B70" s="3" t="str">
        <f>HYPERLINK("https://can-acn.org/","Canadian Association for Neuroscience")</f>
        <v>Canadian Association for Neuroscience</v>
      </c>
      <c r="C70" s="5" t="s">
        <v>15</v>
      </c>
      <c r="D70" s="5" t="s">
        <v>24</v>
      </c>
      <c r="E70" s="5" t="s">
        <v>24</v>
      </c>
      <c r="F70" s="3" t="s">
        <v>672</v>
      </c>
      <c r="G70" s="15">
        <v>8</v>
      </c>
      <c r="H70" s="5" t="s">
        <v>4925</v>
      </c>
      <c r="I70" s="5"/>
    </row>
    <row r="71" spans="1:9" ht="15.9" customHeight="1">
      <c r="A71" s="4">
        <v>67</v>
      </c>
      <c r="B71" s="3" t="str">
        <f>HYPERLINK("https://cagacg.ca/","Canadian Association on Gerontology")</f>
        <v>Canadian Association on Gerontology</v>
      </c>
      <c r="C71" s="5" t="s">
        <v>15</v>
      </c>
      <c r="D71" s="5" t="s">
        <v>24</v>
      </c>
      <c r="E71" s="5" t="s">
        <v>24</v>
      </c>
      <c r="F71" s="3" t="s">
        <v>4426</v>
      </c>
      <c r="G71" s="15">
        <v>9</v>
      </c>
      <c r="H71" s="5" t="s">
        <v>4925</v>
      </c>
      <c r="I71" s="5"/>
    </row>
    <row r="72" spans="1:9" ht="15.9" customHeight="1">
      <c r="A72" s="4">
        <v>68</v>
      </c>
      <c r="B72" s="3" t="str">
        <f>HYPERLINK("https://ccnp.ca/","Canadian College of Neuropsychopharmacology")</f>
        <v>Canadian College of Neuropsychopharmacology</v>
      </c>
      <c r="C72" s="5" t="s">
        <v>15</v>
      </c>
      <c r="D72" s="5" t="s">
        <v>24</v>
      </c>
      <c r="E72" s="5" t="s">
        <v>24</v>
      </c>
      <c r="F72" s="3" t="s">
        <v>4462</v>
      </c>
      <c r="G72" s="15">
        <v>5</v>
      </c>
      <c r="H72" s="5" t="s">
        <v>4925</v>
      </c>
      <c r="I72" s="5"/>
    </row>
    <row r="73" spans="1:9" ht="15.9" customHeight="1">
      <c r="A73" s="4">
        <v>69</v>
      </c>
      <c r="B73" s="3" t="str">
        <f>HYPERLINK("https://www.epicanada.org/","Canadian Consortium for Early Intervention in Psychosis")</f>
        <v>Canadian Consortium for Early Intervention in Psychosis</v>
      </c>
      <c r="C73" s="5" t="s">
        <v>15</v>
      </c>
      <c r="D73" s="5" t="s">
        <v>24</v>
      </c>
      <c r="E73" s="5" t="s">
        <v>24</v>
      </c>
      <c r="F73" s="3" t="s">
        <v>4921</v>
      </c>
      <c r="G73" s="15">
        <v>3</v>
      </c>
      <c r="H73" s="5" t="s">
        <v>4325</v>
      </c>
      <c r="I73" s="5"/>
    </row>
    <row r="74" spans="1:9" ht="15.9" customHeight="1">
      <c r="A74" s="4">
        <v>70</v>
      </c>
      <c r="B74" s="3" t="str">
        <f>HYPERLINK("https://canadiangeriatrics.ca/","Canadian Geriatrics Society")</f>
        <v>Canadian Geriatrics Society</v>
      </c>
      <c r="C74" s="5" t="s">
        <v>15</v>
      </c>
      <c r="D74" s="5" t="s">
        <v>24</v>
      </c>
      <c r="E74" s="5" t="s">
        <v>24</v>
      </c>
      <c r="F74" s="3" t="s">
        <v>4424</v>
      </c>
      <c r="G74" s="15">
        <v>9</v>
      </c>
      <c r="H74" s="5" t="s">
        <v>4925</v>
      </c>
      <c r="I74" s="5"/>
    </row>
    <row r="75" spans="1:9" ht="15.9" customHeight="1">
      <c r="A75" s="4">
        <v>71</v>
      </c>
      <c r="B75" s="3" t="str">
        <f>HYPERLINK("https://cgna.net/","Canadian Gerontological Nursing Association")</f>
        <v>Canadian Gerontological Nursing Association</v>
      </c>
      <c r="C75" s="5" t="s">
        <v>15</v>
      </c>
      <c r="D75" s="5" t="s">
        <v>24</v>
      </c>
      <c r="E75" s="5" t="s">
        <v>24</v>
      </c>
      <c r="F75" s="3" t="s">
        <v>4425</v>
      </c>
      <c r="G75" s="15">
        <v>9</v>
      </c>
      <c r="H75" s="5" t="s">
        <v>4925</v>
      </c>
      <c r="I75" s="5"/>
    </row>
    <row r="76" spans="1:9" ht="15.9" customHeight="1">
      <c r="A76" s="4">
        <v>72</v>
      </c>
      <c r="B76" s="3" t="str">
        <f>HYPERLINK("https://cmha.ca/","Canadian Mental Health Association")</f>
        <v>Canadian Mental Health Association</v>
      </c>
      <c r="C76" s="5" t="s">
        <v>15</v>
      </c>
      <c r="D76" s="5" t="s">
        <v>24</v>
      </c>
      <c r="E76" s="5" t="s">
        <v>24</v>
      </c>
      <c r="F76" s="3" t="s">
        <v>668</v>
      </c>
      <c r="G76" s="15">
        <v>4</v>
      </c>
      <c r="H76" s="5" t="s">
        <v>4925</v>
      </c>
      <c r="I76" s="5"/>
    </row>
    <row r="77" spans="1:9" ht="15.9" customHeight="1">
      <c r="A77" s="4">
        <v>73</v>
      </c>
      <c r="B77" s="3" t="str">
        <f>HYPERLINK("https://www.cnsf.org/","Canadian Neurological Sciences Federation")</f>
        <v>Canadian Neurological Sciences Federation</v>
      </c>
      <c r="C77" s="5" t="s">
        <v>15</v>
      </c>
      <c r="D77" s="5" t="s">
        <v>24</v>
      </c>
      <c r="E77" s="5" t="s">
        <v>24</v>
      </c>
      <c r="F77" s="3" t="s">
        <v>673</v>
      </c>
      <c r="G77" s="15">
        <v>8</v>
      </c>
      <c r="H77" s="5" t="s">
        <v>4925</v>
      </c>
      <c r="I77" s="5"/>
    </row>
    <row r="78" spans="1:9" ht="15.9" customHeight="1">
      <c r="A78" s="4">
        <v>74</v>
      </c>
      <c r="B78" s="3" t="str">
        <f>HYPERLINK("https://www.cnsf.org/cns/about-cns/","Canadian Neurological Society")</f>
        <v>Canadian Neurological Society</v>
      </c>
      <c r="C78" s="5" t="s">
        <v>15</v>
      </c>
      <c r="D78" s="5" t="s">
        <v>24</v>
      </c>
      <c r="E78" s="5" t="s">
        <v>24</v>
      </c>
      <c r="F78" s="3" t="s">
        <v>674</v>
      </c>
      <c r="G78" s="15">
        <v>8</v>
      </c>
      <c r="H78" s="5" t="s">
        <v>4925</v>
      </c>
      <c r="I78" s="5"/>
    </row>
    <row r="79" spans="1:9" ht="15.9" customHeight="1">
      <c r="A79" s="4">
        <v>75</v>
      </c>
      <c r="B79" s="3" t="str">
        <f>HYPERLINK("https://www.cpa-apc.org/","Canadian Psychiatric Association")</f>
        <v>Canadian Psychiatric Association</v>
      </c>
      <c r="C79" s="5" t="s">
        <v>15</v>
      </c>
      <c r="D79" s="5" t="s">
        <v>24</v>
      </c>
      <c r="E79" s="5" t="s">
        <v>24</v>
      </c>
      <c r="F79" s="3" t="s">
        <v>659</v>
      </c>
      <c r="G79" s="15">
        <v>4</v>
      </c>
      <c r="H79" s="5" t="s">
        <v>4925</v>
      </c>
      <c r="I79" s="5"/>
    </row>
    <row r="80" spans="1:9" ht="15.9" customHeight="1">
      <c r="A80" s="4">
        <v>76</v>
      </c>
      <c r="B80" s="3" t="str">
        <f>HYPERLINK("https://cpa.ca/","Canadian Psychological Association")</f>
        <v>Canadian Psychological Association</v>
      </c>
      <c r="C80" s="5" t="s">
        <v>15</v>
      </c>
      <c r="D80" s="5" t="s">
        <v>24</v>
      </c>
      <c r="E80" s="5" t="s">
        <v>24</v>
      </c>
      <c r="F80" s="3" t="s">
        <v>610</v>
      </c>
      <c r="G80" s="15">
        <v>5</v>
      </c>
      <c r="H80" s="5" t="s">
        <v>4925</v>
      </c>
      <c r="I80" s="5"/>
    </row>
    <row r="81" spans="1:9" ht="15.9" customHeight="1">
      <c r="A81" s="4">
        <v>77</v>
      </c>
      <c r="B81" s="3" t="str">
        <f>HYPERLINK("https://www.socpsych.org/","Society of Canadian Psychiatry")</f>
        <v>Society of Canadian Psychiatry</v>
      </c>
      <c r="C81" s="5" t="s">
        <v>15</v>
      </c>
      <c r="D81" s="5" t="s">
        <v>24</v>
      </c>
      <c r="E81" s="5" t="s">
        <v>24</v>
      </c>
      <c r="F81" s="3" t="s">
        <v>669</v>
      </c>
      <c r="G81" s="15">
        <v>4</v>
      </c>
      <c r="H81" s="5" t="s">
        <v>4925</v>
      </c>
      <c r="I81" s="5"/>
    </row>
    <row r="82" spans="1:9" ht="15.9" customHeight="1">
      <c r="A82" s="4">
        <v>78</v>
      </c>
      <c r="B82" s="3" t="str">
        <f>HYPERLINK("https://www.camimh.ca/","The Canadian Alliance on Mental Illness and Mental Health")</f>
        <v>The Canadian Alliance on Mental Illness and Mental Health</v>
      </c>
      <c r="C82" s="5" t="s">
        <v>15</v>
      </c>
      <c r="D82" s="5" t="s">
        <v>24</v>
      </c>
      <c r="E82" s="5" t="s">
        <v>24</v>
      </c>
      <c r="F82" s="3" t="s">
        <v>671</v>
      </c>
      <c r="G82" s="15">
        <v>4</v>
      </c>
      <c r="H82" s="5" t="s">
        <v>4925</v>
      </c>
      <c r="I82" s="5"/>
    </row>
    <row r="83" spans="1:9" ht="15.9" customHeight="1">
      <c r="A83" s="4">
        <v>79</v>
      </c>
      <c r="B83" s="3" t="str">
        <f>HYPERLINK("https://sf3pa.com/","Francophone Society of Psychogeriatrics and Psychiatry of the Elderly (SF3PA)")</f>
        <v>Francophone Society of Psychogeriatrics and Psychiatry of the Elderly (SF3PA)</v>
      </c>
      <c r="C83" s="5" t="s">
        <v>15</v>
      </c>
      <c r="D83" s="5" t="s">
        <v>292</v>
      </c>
      <c r="E83" s="5" t="s">
        <v>292</v>
      </c>
      <c r="F83" s="3" t="s">
        <v>4428</v>
      </c>
      <c r="G83" s="15">
        <v>5</v>
      </c>
      <c r="H83" s="5" t="s">
        <v>4925</v>
      </c>
      <c r="I83" s="5"/>
    </row>
    <row r="84" spans="1:9" ht="15.9" customHeight="1">
      <c r="A84" s="4">
        <v>80</v>
      </c>
      <c r="B84" s="3" t="str">
        <f>HYPERLINK("https://www.afpbn.org/","French Association of Biological Psychiatry and Neuropsychopharmacology (AFPBN)")</f>
        <v>French Association of Biological Psychiatry and Neuropsychopharmacology (AFPBN)</v>
      </c>
      <c r="C84" s="5" t="s">
        <v>15</v>
      </c>
      <c r="D84" s="5" t="s">
        <v>292</v>
      </c>
      <c r="E84" s="5" t="s">
        <v>292</v>
      </c>
      <c r="F84" s="3" t="s">
        <v>4454</v>
      </c>
      <c r="G84" s="15">
        <v>4</v>
      </c>
      <c r="H84" s="5" t="s">
        <v>4925</v>
      </c>
      <c r="I84" s="5"/>
    </row>
    <row r="85" spans="1:9" ht="15.9" customHeight="1">
      <c r="A85" s="4">
        <v>81</v>
      </c>
      <c r="B85" s="3" t="str">
        <f>HYPERLINK("https://fedepsychiatrie.fr/","French Federation of Psychiatry")</f>
        <v>French Federation of Psychiatry</v>
      </c>
      <c r="C85" s="5" t="s">
        <v>15</v>
      </c>
      <c r="D85" s="5" t="s">
        <v>292</v>
      </c>
      <c r="E85" s="5" t="s">
        <v>292</v>
      </c>
      <c r="F85" s="3" t="s">
        <v>684</v>
      </c>
      <c r="G85" s="15">
        <v>4</v>
      </c>
      <c r="H85" s="5" t="s">
        <v>4925</v>
      </c>
      <c r="I85" s="5"/>
    </row>
    <row r="86" spans="1:9" ht="15.9" customHeight="1">
      <c r="A86" s="4">
        <v>82</v>
      </c>
      <c r="B86" s="3" t="str">
        <f>HYPERLINK("https://sfpeada.fr/","French Society of Child and Adolescent Psychiatry (SFPEADA)")</f>
        <v>French Society of Child and Adolescent Psychiatry (SFPEADA)</v>
      </c>
      <c r="C86" s="5" t="s">
        <v>15</v>
      </c>
      <c r="D86" s="5" t="s">
        <v>292</v>
      </c>
      <c r="E86" s="5" t="s">
        <v>292</v>
      </c>
      <c r="F86" s="3" t="s">
        <v>607</v>
      </c>
      <c r="G86" s="15">
        <v>4</v>
      </c>
      <c r="H86" s="5" t="s">
        <v>4925</v>
      </c>
      <c r="I86" s="5"/>
    </row>
    <row r="87" spans="1:9" ht="15.9" customHeight="1">
      <c r="A87" s="4">
        <v>83</v>
      </c>
      <c r="B87" s="3" t="str">
        <f>HYPERLINK("https://sfgg.org/","French Society of Geriatrics and Gerontology (SFGG)")</f>
        <v>French Society of Geriatrics and Gerontology (SFGG)</v>
      </c>
      <c r="C87" s="5" t="s">
        <v>15</v>
      </c>
      <c r="D87" s="5" t="s">
        <v>292</v>
      </c>
      <c r="E87" s="5" t="s">
        <v>292</v>
      </c>
      <c r="F87" s="3" t="s">
        <v>4429</v>
      </c>
      <c r="G87" s="15">
        <v>9</v>
      </c>
      <c r="H87" s="5" t="s">
        <v>4925</v>
      </c>
      <c r="I87" s="5"/>
    </row>
    <row r="88" spans="1:9" ht="15.9" customHeight="1">
      <c r="A88" s="4">
        <v>84</v>
      </c>
      <c r="B88" s="3" t="str">
        <f>HYPERLINK("https://www.fondation-fondamental.org/","The FondaMental Foundation")</f>
        <v>The FondaMental Foundation</v>
      </c>
      <c r="C88" s="5" t="s">
        <v>15</v>
      </c>
      <c r="D88" s="5" t="s">
        <v>292</v>
      </c>
      <c r="E88" s="5" t="s">
        <v>292</v>
      </c>
      <c r="F88" s="3" t="s">
        <v>694</v>
      </c>
      <c r="G88" s="15">
        <v>4</v>
      </c>
      <c r="H88" s="5" t="s">
        <v>4925</v>
      </c>
      <c r="I88" s="5"/>
    </row>
    <row r="89" spans="1:9" ht="15.9" customHeight="1">
      <c r="A89" s="4">
        <v>85</v>
      </c>
      <c r="B89" s="3" t="str">
        <f>HYPERLINK("https://www.alzheimer-forschung.de/","Alzheimer Research Initiative e. V. (AFI)")</f>
        <v>Alzheimer Research Initiative e. V. (AFI)</v>
      </c>
      <c r="C89" s="5" t="s">
        <v>15</v>
      </c>
      <c r="D89" s="5" t="s">
        <v>295</v>
      </c>
      <c r="E89" s="5" t="s">
        <v>295</v>
      </c>
      <c r="F89" s="3" t="s">
        <v>4449</v>
      </c>
      <c r="G89" s="15">
        <v>6</v>
      </c>
      <c r="H89" s="5" t="s">
        <v>4335</v>
      </c>
      <c r="I89" s="5"/>
    </row>
    <row r="90" spans="1:9" ht="15.9" customHeight="1">
      <c r="A90" s="4">
        <v>86</v>
      </c>
      <c r="B90" s="3" t="str">
        <f>HYPERLINK("https://www.dgppn.de/","German Association for Psychiatry, Psychotherapy and Psychosomatics (DGPPN)")</f>
        <v>German Association for Psychiatry, Psychotherapy and Psychosomatics (DGPPN)</v>
      </c>
      <c r="C90" s="5" t="s">
        <v>15</v>
      </c>
      <c r="D90" s="5" t="s">
        <v>295</v>
      </c>
      <c r="E90" s="5" t="s">
        <v>295</v>
      </c>
      <c r="F90" s="3" t="s">
        <v>660</v>
      </c>
      <c r="G90" s="15">
        <v>4</v>
      </c>
      <c r="H90" s="5" t="s">
        <v>4925</v>
      </c>
      <c r="I90" s="5"/>
    </row>
    <row r="91" spans="1:9" ht="15.9" customHeight="1">
      <c r="A91" s="4">
        <v>87</v>
      </c>
      <c r="B91" s="3" t="str">
        <f>HYPERLINK("https://nwg-info.de/","German Neuroscience Society (NWG)")</f>
        <v>German Neuroscience Society (NWG)</v>
      </c>
      <c r="C91" s="5" t="s">
        <v>15</v>
      </c>
      <c r="D91" s="5" t="s">
        <v>295</v>
      </c>
      <c r="E91" s="5" t="s">
        <v>295</v>
      </c>
      <c r="F91" s="3" t="s">
        <v>687</v>
      </c>
      <c r="G91" s="15">
        <v>8</v>
      </c>
      <c r="H91" s="5" t="s">
        <v>4925</v>
      </c>
      <c r="I91" s="5"/>
    </row>
    <row r="92" spans="1:9" ht="15.9" customHeight="1">
      <c r="A92" s="4">
        <v>88</v>
      </c>
      <c r="B92" s="3" t="str">
        <f>HYPERLINK("https://www.dgbp.de/","German Society for Biological Psychiatry (DGBP)")</f>
        <v>German Society for Biological Psychiatry (DGBP)</v>
      </c>
      <c r="C92" s="5" t="s">
        <v>15</v>
      </c>
      <c r="D92" s="5" t="s">
        <v>295</v>
      </c>
      <c r="E92" s="5" t="s">
        <v>295</v>
      </c>
      <c r="F92" s="3" t="s">
        <v>4721</v>
      </c>
      <c r="G92" s="15">
        <v>4</v>
      </c>
      <c r="H92" s="5" t="s">
        <v>4925</v>
      </c>
      <c r="I92" s="5"/>
    </row>
    <row r="93" spans="1:9" ht="15.9" customHeight="1">
      <c r="A93" s="4">
        <v>89</v>
      </c>
      <c r="B93" s="3" t="str">
        <f>HYPERLINK("https://www.dgkjp.de/","German Society for Child and Adolescent Psychiatry, Psychosomatics and Psychotherapy")</f>
        <v>German Society for Child and Adolescent Psychiatry, Psychosomatics and Psychotherapy</v>
      </c>
      <c r="C93" s="5" t="s">
        <v>15</v>
      </c>
      <c r="D93" s="5" t="s">
        <v>295</v>
      </c>
      <c r="E93" s="5" t="s">
        <v>295</v>
      </c>
      <c r="F93" s="3" t="s">
        <v>608</v>
      </c>
      <c r="G93" s="15">
        <v>4</v>
      </c>
      <c r="H93" s="5" t="s">
        <v>4925</v>
      </c>
      <c r="I93" s="5"/>
    </row>
    <row r="94" spans="1:9" ht="15.9" customHeight="1">
      <c r="A94" s="4">
        <v>90</v>
      </c>
      <c r="B94" s="3" t="str">
        <f>HYPERLINK("https://www.dggeriatrie.de/","German Society for Geriatrics (DGG)")</f>
        <v>German Society for Geriatrics (DGG)</v>
      </c>
      <c r="C94" s="5" t="s">
        <v>15</v>
      </c>
      <c r="D94" s="5" t="s">
        <v>295</v>
      </c>
      <c r="E94" s="5" t="s">
        <v>295</v>
      </c>
      <c r="F94" s="3" t="s">
        <v>4431</v>
      </c>
      <c r="G94" s="15">
        <v>9</v>
      </c>
      <c r="H94" s="5" t="s">
        <v>4925</v>
      </c>
      <c r="I94" s="5"/>
    </row>
    <row r="95" spans="1:9" ht="15.9" customHeight="1">
      <c r="A95" s="4">
        <v>91</v>
      </c>
      <c r="B95" s="3" t="str">
        <f>HYPERLINK("https://www.dggg-online.de/index.html","German Society for Gerontology and Geriatrics eV (DGGG)")</f>
        <v>German Society for Gerontology and Geriatrics eV (DGGG)</v>
      </c>
      <c r="C95" s="5" t="s">
        <v>15</v>
      </c>
      <c r="D95" s="5" t="s">
        <v>295</v>
      </c>
      <c r="E95" s="5" t="s">
        <v>295</v>
      </c>
      <c r="F95" s="3" t="s">
        <v>4430</v>
      </c>
      <c r="G95" s="15">
        <v>9</v>
      </c>
      <c r="H95" s="5" t="s">
        <v>4925</v>
      </c>
      <c r="I95" s="5"/>
    </row>
    <row r="96" spans="1:9" ht="15.9" customHeight="1">
      <c r="A96" s="4">
        <v>92</v>
      </c>
      <c r="B96" s="3" t="str">
        <f>HYPERLINK("https://agnp.de/","German Society for Neuropsychopharmacology and Pharmacopsychiatry (AGNP)")</f>
        <v>German Society for Neuropsychopharmacology and Pharmacopsychiatry (AGNP)</v>
      </c>
      <c r="C96" s="5" t="s">
        <v>15</v>
      </c>
      <c r="D96" s="5" t="s">
        <v>295</v>
      </c>
      <c r="E96" s="5" t="s">
        <v>295</v>
      </c>
      <c r="F96" s="3" t="s">
        <v>4461</v>
      </c>
      <c r="G96" s="15">
        <v>4</v>
      </c>
      <c r="H96" s="5" t="s">
        <v>4925</v>
      </c>
      <c r="I96" s="5"/>
    </row>
    <row r="97" spans="1:9" ht="15.9" customHeight="1">
      <c r="A97" s="4">
        <v>93</v>
      </c>
      <c r="B97" s="3" t="str">
        <f>HYPERLINK("https://www.dgps.de/","German Society for Psychology (DGPs)")</f>
        <v>German Society for Psychology (DGPs)</v>
      </c>
      <c r="C97" s="5" t="s">
        <v>15</v>
      </c>
      <c r="D97" s="5" t="s">
        <v>295</v>
      </c>
      <c r="E97" s="5" t="s">
        <v>295</v>
      </c>
      <c r="F97" s="3" t="s">
        <v>716</v>
      </c>
      <c r="G97" s="15">
        <v>4</v>
      </c>
      <c r="H97" s="5" t="s">
        <v>4925</v>
      </c>
      <c r="I97" s="5"/>
    </row>
    <row r="98" spans="1:9" ht="15.9" customHeight="1">
      <c r="A98" s="4">
        <v>94</v>
      </c>
      <c r="B98" s="3" t="str">
        <f>HYPERLINK("https://www.gnp.de/index-en","Society for Neuropsychology (GNP)")</f>
        <v>Society for Neuropsychology (GNP)</v>
      </c>
      <c r="C98" s="5" t="s">
        <v>15</v>
      </c>
      <c r="D98" s="5" t="s">
        <v>295</v>
      </c>
      <c r="E98" s="5" t="s">
        <v>295</v>
      </c>
      <c r="F98" s="3" t="s">
        <v>688</v>
      </c>
      <c r="G98" s="15">
        <v>5</v>
      </c>
      <c r="H98" s="5" t="s">
        <v>4925</v>
      </c>
      <c r="I98" s="5"/>
    </row>
    <row r="99" spans="1:9" ht="15.9" customHeight="1">
      <c r="A99" s="4">
        <v>95</v>
      </c>
      <c r="B99" s="3" t="str">
        <f>HYPERLINK("https://dgn.org/","The German Neurological Society (DGN)")</f>
        <v>The German Neurological Society (DGN)</v>
      </c>
      <c r="C99" s="5" t="s">
        <v>15</v>
      </c>
      <c r="D99" s="5" t="s">
        <v>295</v>
      </c>
      <c r="E99" s="5" t="s">
        <v>295</v>
      </c>
      <c r="F99" s="3" t="s">
        <v>686</v>
      </c>
      <c r="G99" s="15">
        <v>8</v>
      </c>
      <c r="H99" s="5" t="s">
        <v>4925</v>
      </c>
      <c r="I99" s="5"/>
    </row>
    <row r="100" spans="1:9" ht="15.9" customHeight="1">
      <c r="A100" s="4">
        <v>96</v>
      </c>
      <c r="B100" s="3" t="str">
        <f>HYPERLINK("https://www.ispsitalia.org/","International Society for Psychological and Social Approaches to Psychosis Italy (ISPS Italy)")</f>
        <v>International Society for Psychological and Social Approaches to Psychosis Italy (ISPS Italy)</v>
      </c>
      <c r="C100" s="5" t="s">
        <v>15</v>
      </c>
      <c r="D100" s="5" t="s">
        <v>16</v>
      </c>
      <c r="E100" s="5" t="s">
        <v>16</v>
      </c>
      <c r="F100" s="3" t="s">
        <v>632</v>
      </c>
      <c r="G100" s="15">
        <v>3</v>
      </c>
      <c r="H100" s="5" t="s">
        <v>4325</v>
      </c>
      <c r="I100" s="5"/>
    </row>
    <row r="101" spans="1:9" ht="15.9" customHeight="1">
      <c r="A101" s="4">
        <v>97</v>
      </c>
      <c r="B101" s="3" t="str">
        <f>HYPERLINK("https://psicogeriatria.it/","Italian Association of Psychogeriatrics (AIP)")</f>
        <v>Italian Association of Psychogeriatrics (AIP)</v>
      </c>
      <c r="C101" s="5" t="s">
        <v>15</v>
      </c>
      <c r="D101" s="5" t="s">
        <v>16</v>
      </c>
      <c r="E101" s="5" t="s">
        <v>16</v>
      </c>
      <c r="F101" s="3" t="s">
        <v>4432</v>
      </c>
      <c r="G101" s="15">
        <v>5</v>
      </c>
      <c r="H101" s="5" t="s">
        <v>4925</v>
      </c>
      <c r="I101" s="5"/>
    </row>
    <row r="102" spans="1:9" ht="15.9" customHeight="1">
      <c r="A102" s="4">
        <v>98</v>
      </c>
      <c r="B102" s="3" t="str">
        <f>HYPERLINK("https://aipass.org/","Italian Association of Psychology")</f>
        <v>Italian Association of Psychology</v>
      </c>
      <c r="C102" s="5" t="s">
        <v>15</v>
      </c>
      <c r="D102" s="5" t="s">
        <v>16</v>
      </c>
      <c r="E102" s="5" t="s">
        <v>16</v>
      </c>
      <c r="F102" s="3" t="s">
        <v>614</v>
      </c>
      <c r="G102" s="15">
        <v>5</v>
      </c>
      <c r="H102" s="5" t="s">
        <v>4925</v>
      </c>
      <c r="I102" s="5"/>
    </row>
    <row r="103" spans="1:9" ht="15.9" customHeight="1">
      <c r="A103" s="4">
        <v>99</v>
      </c>
      <c r="B103" s="3" t="str">
        <f>HYPERLINK("https://www.sipb.it/","Italian Society of Biological Psychiatry (SIPB)")</f>
        <v>Italian Society of Biological Psychiatry (SIPB)</v>
      </c>
      <c r="C103" s="5" t="s">
        <v>15</v>
      </c>
      <c r="D103" s="5" t="s">
        <v>16</v>
      </c>
      <c r="E103" s="5" t="s">
        <v>16</v>
      </c>
      <c r="F103" s="3" t="s">
        <v>4459</v>
      </c>
      <c r="G103" s="15">
        <v>4</v>
      </c>
      <c r="H103" s="5" t="s">
        <v>4925</v>
      </c>
      <c r="I103" s="5"/>
    </row>
    <row r="104" spans="1:9" ht="15.9" customHeight="1">
      <c r="A104" s="4">
        <v>100</v>
      </c>
      <c r="B104" s="3" t="str">
        <f>HYPERLINK("https://sinpia.eu/","Italian Society of Child and Adolescent Neuropsychiatry (SINPIA)")</f>
        <v>Italian Society of Child and Adolescent Neuropsychiatry (SINPIA)</v>
      </c>
      <c r="C104" s="5" t="s">
        <v>15</v>
      </c>
      <c r="D104" s="5" t="s">
        <v>16</v>
      </c>
      <c r="E104" s="5" t="s">
        <v>16</v>
      </c>
      <c r="F104" s="3" t="s">
        <v>606</v>
      </c>
      <c r="G104" s="15">
        <v>3</v>
      </c>
      <c r="H104" s="5" t="s">
        <v>4325</v>
      </c>
      <c r="I104" s="5"/>
    </row>
    <row r="105" spans="1:9" ht="15.9" customHeight="1">
      <c r="A105" s="4">
        <v>101</v>
      </c>
      <c r="B105" s="3" t="str">
        <f>HYPERLINK("https://www.sigg.it/","Italian Society of Gerontology and Geriatrics (SIGG)")</f>
        <v>Italian Society of Gerontology and Geriatrics (SIGG)</v>
      </c>
      <c r="C105" s="5" t="s">
        <v>15</v>
      </c>
      <c r="D105" s="5" t="s">
        <v>16</v>
      </c>
      <c r="E105" s="5" t="s">
        <v>16</v>
      </c>
      <c r="F105" s="3" t="s">
        <v>4433</v>
      </c>
      <c r="G105" s="15">
        <v>9</v>
      </c>
      <c r="H105" s="5" t="s">
        <v>4925</v>
      </c>
      <c r="I105" s="5"/>
    </row>
    <row r="106" spans="1:9" ht="15.9" customHeight="1">
      <c r="A106" s="4">
        <v>102</v>
      </c>
      <c r="B106" s="3" t="str">
        <f>HYPERLINK("https://www.neuro.it/web/eventi/NEURO/index.cfm","Italian Society of Neurology")</f>
        <v>Italian Society of Neurology</v>
      </c>
      <c r="C106" s="5" t="s">
        <v>15</v>
      </c>
      <c r="D106" s="5" t="s">
        <v>16</v>
      </c>
      <c r="E106" s="5" t="s">
        <v>16</v>
      </c>
      <c r="F106" s="3" t="s">
        <v>613</v>
      </c>
      <c r="G106" s="15">
        <v>8</v>
      </c>
      <c r="H106" s="5" t="s">
        <v>4925</v>
      </c>
      <c r="I106" s="5"/>
    </row>
    <row r="107" spans="1:9" ht="15.9" customHeight="1">
      <c r="A107" s="4">
        <v>103</v>
      </c>
      <c r="B107" s="3" t="str">
        <f>HYPERLINK("https://sinpf.it/","Italian Society of Neuropsychopharmacology (SINPF)")</f>
        <v>Italian Society of Neuropsychopharmacology (SINPF)</v>
      </c>
      <c r="C107" s="5" t="s">
        <v>15</v>
      </c>
      <c r="D107" s="5" t="s">
        <v>16</v>
      </c>
      <c r="E107" s="5" t="s">
        <v>16</v>
      </c>
      <c r="F107" s="3" t="s">
        <v>4460</v>
      </c>
      <c r="G107" s="15">
        <v>5</v>
      </c>
      <c r="H107" s="5" t="s">
        <v>4925</v>
      </c>
      <c r="I107" s="5"/>
    </row>
    <row r="108" spans="1:9" ht="15.9" customHeight="1">
      <c r="A108" s="4">
        <v>104</v>
      </c>
      <c r="B108" s="3" t="str">
        <f>HYPERLINK("https://psichiatria.it/","Italian Society of Psychiatry (SIP)")</f>
        <v>Italian Society of Psychiatry (SIP)</v>
      </c>
      <c r="C108" s="5" t="s">
        <v>15</v>
      </c>
      <c r="D108" s="5" t="s">
        <v>16</v>
      </c>
      <c r="E108" s="5" t="s">
        <v>16</v>
      </c>
      <c r="F108" s="3" t="s">
        <v>609</v>
      </c>
      <c r="G108" s="15">
        <v>4</v>
      </c>
      <c r="H108" s="5" t="s">
        <v>4925</v>
      </c>
      <c r="I108" s="5"/>
    </row>
    <row r="109" spans="1:9" ht="15.9" customHeight="1">
      <c r="A109" s="4">
        <v>105</v>
      </c>
      <c r="B109" s="3" t="str">
        <f>HYPERLINK("https://www.rounenkango.com/","Japan Academy of Gerontological Nursing")</f>
        <v>Japan Academy of Gerontological Nursing</v>
      </c>
      <c r="C109" s="5" t="s">
        <v>15</v>
      </c>
      <c r="D109" s="5" t="s">
        <v>316</v>
      </c>
      <c r="E109" s="5" t="s">
        <v>316</v>
      </c>
      <c r="F109" s="3" t="s">
        <v>4435</v>
      </c>
      <c r="G109" s="15">
        <v>9</v>
      </c>
      <c r="H109" s="5" t="s">
        <v>4925</v>
      </c>
      <c r="I109" s="5"/>
    </row>
    <row r="110" spans="1:9" ht="15.9" customHeight="1">
      <c r="A110" s="4">
        <v>106</v>
      </c>
      <c r="B110" s="3" t="str">
        <f>HYPERLINK("https://www.jpn-geriat-soc.or.jp/index.html","Japan Geriatrics Society")</f>
        <v>Japan Geriatrics Society</v>
      </c>
      <c r="C110" s="5" t="s">
        <v>15</v>
      </c>
      <c r="D110" s="5" t="s">
        <v>316</v>
      </c>
      <c r="E110" s="5" t="s">
        <v>316</v>
      </c>
      <c r="F110" s="3" t="s">
        <v>4434</v>
      </c>
      <c r="G110" s="15">
        <v>9</v>
      </c>
      <c r="H110" s="5" t="s">
        <v>4925</v>
      </c>
      <c r="I110" s="5"/>
    </row>
    <row r="111" spans="1:9" ht="15.9" customHeight="1">
      <c r="A111" s="4">
        <v>107</v>
      </c>
      <c r="B111" s="3" t="str">
        <f>HYPERLINK("https://mental.co.jp/","Japan Mental Health Association")</f>
        <v>Japan Mental Health Association</v>
      </c>
      <c r="C111" s="5" t="s">
        <v>15</v>
      </c>
      <c r="D111" s="5" t="s">
        <v>316</v>
      </c>
      <c r="E111" s="5" t="s">
        <v>316</v>
      </c>
      <c r="F111" s="3" t="s">
        <v>695</v>
      </c>
      <c r="G111" s="15">
        <v>4</v>
      </c>
      <c r="H111" s="5" t="s">
        <v>4925</v>
      </c>
      <c r="I111" s="5"/>
    </row>
    <row r="112" spans="1:9" ht="15.9" customHeight="1">
      <c r="A112" s="4">
        <v>108</v>
      </c>
      <c r="B112" s="3" t="str">
        <f>HYPERLINK("http://www.kaiseikai.jp/index.php","Japan Psychiatric Association for International Partnership (KAISEIKAI)")</f>
        <v>Japan Psychiatric Association for International Partnership (KAISEIKAI)</v>
      </c>
      <c r="C112" s="5" t="s">
        <v>15</v>
      </c>
      <c r="D112" s="5" t="s">
        <v>316</v>
      </c>
      <c r="E112" s="5" t="s">
        <v>316</v>
      </c>
      <c r="F112" s="3" t="s">
        <v>626</v>
      </c>
      <c r="G112" s="15">
        <v>4</v>
      </c>
      <c r="H112" s="5" t="s">
        <v>4925</v>
      </c>
      <c r="I112" s="5"/>
    </row>
    <row r="113" spans="1:9" ht="15.9" customHeight="1">
      <c r="A113" s="4">
        <v>109</v>
      </c>
      <c r="B113" s="3" t="str">
        <f>HYPERLINK("https://www.nisseikyo.or.jp/","Japan Psychiatric Hospitals Association (JPA)")</f>
        <v>Japan Psychiatric Hospitals Association (JPA)</v>
      </c>
      <c r="C113" s="5" t="s">
        <v>15</v>
      </c>
      <c r="D113" s="5" t="s">
        <v>316</v>
      </c>
      <c r="E113" s="5" t="s">
        <v>316</v>
      </c>
      <c r="F113" s="3" t="s">
        <v>625</v>
      </c>
      <c r="G113" s="15">
        <v>4</v>
      </c>
      <c r="H113" s="5" t="s">
        <v>4925</v>
      </c>
      <c r="I113" s="5"/>
    </row>
    <row r="114" spans="1:9" ht="15.9" customHeight="1">
      <c r="A114" s="4">
        <v>110</v>
      </c>
      <c r="B114" s="3" t="str">
        <f>HYPERLINK("https://www.jabct.org/","Japanese Association for Behavioral and Cognitive Therapies")</f>
        <v>Japanese Association for Behavioral and Cognitive Therapies</v>
      </c>
      <c r="C114" s="5" t="s">
        <v>15</v>
      </c>
      <c r="D114" s="5" t="s">
        <v>316</v>
      </c>
      <c r="E114" s="5" t="s">
        <v>316</v>
      </c>
      <c r="F114" s="3" t="s">
        <v>706</v>
      </c>
      <c r="G114" s="15">
        <v>5</v>
      </c>
      <c r="H114" s="5" t="s">
        <v>4925</v>
      </c>
      <c r="I114" s="5"/>
    </row>
    <row r="115" spans="1:9" ht="15.9" customHeight="1">
      <c r="A115" s="4">
        <v>111</v>
      </c>
      <c r="B115" s="3" t="str">
        <f>HYPERLINK("http://jact.umin.jp/","Japanese Association for Cognitive Therapy")</f>
        <v>Japanese Association for Cognitive Therapy</v>
      </c>
      <c r="C115" s="5" t="s">
        <v>15</v>
      </c>
      <c r="D115" s="5" t="s">
        <v>316</v>
      </c>
      <c r="E115" s="5" t="s">
        <v>316</v>
      </c>
      <c r="F115" s="3" t="s">
        <v>707</v>
      </c>
      <c r="G115" s="15">
        <v>5</v>
      </c>
      <c r="H115" s="5" t="s">
        <v>4925</v>
      </c>
      <c r="I115" s="5"/>
    </row>
    <row r="116" spans="1:9" ht="15.9" customHeight="1">
      <c r="A116" s="4">
        <v>112</v>
      </c>
      <c r="B116" s="3" t="str">
        <f>HYPERLINK("http://www.npo-jam.org/","Japanese Association of Mental Health Services")</f>
        <v>Japanese Association of Mental Health Services</v>
      </c>
      <c r="C116" s="5" t="s">
        <v>15</v>
      </c>
      <c r="D116" s="5" t="s">
        <v>316</v>
      </c>
      <c r="E116" s="5" t="s">
        <v>316</v>
      </c>
      <c r="F116" s="3" t="s">
        <v>705</v>
      </c>
      <c r="G116" s="15">
        <v>4</v>
      </c>
      <c r="H116" s="5" t="s">
        <v>4925</v>
      </c>
      <c r="I116" s="5"/>
    </row>
    <row r="117" spans="1:9" ht="15.9" customHeight="1">
      <c r="A117" s="4">
        <v>113</v>
      </c>
      <c r="B117" s="3" t="str">
        <f>HYPERLINK("https://www.jamhsw.or.jp/","Japanese Association of Mental Health Social Workers")</f>
        <v>Japanese Association of Mental Health Social Workers</v>
      </c>
      <c r="C117" s="5" t="s">
        <v>15</v>
      </c>
      <c r="D117" s="5" t="s">
        <v>316</v>
      </c>
      <c r="E117" s="5" t="s">
        <v>316</v>
      </c>
      <c r="F117" s="3" t="s">
        <v>696</v>
      </c>
      <c r="G117" s="15">
        <v>4</v>
      </c>
      <c r="H117" s="5" t="s">
        <v>4925</v>
      </c>
      <c r="I117" s="5"/>
    </row>
    <row r="118" spans="1:9" ht="15.9" customHeight="1">
      <c r="A118" s="4">
        <v>114</v>
      </c>
      <c r="B118" s="3" t="str">
        <f>HYPERLINK("https://japc.or.jp/","Japanese Association of Neuro-Psychiatric Clinic")</f>
        <v>Japanese Association of Neuro-Psychiatric Clinic</v>
      </c>
      <c r="C118" s="5" t="s">
        <v>15</v>
      </c>
      <c r="D118" s="5" t="s">
        <v>316</v>
      </c>
      <c r="E118" s="5" t="s">
        <v>316</v>
      </c>
      <c r="F118" s="3" t="s">
        <v>619</v>
      </c>
      <c r="G118" s="15">
        <v>3</v>
      </c>
      <c r="H118" s="5" t="s">
        <v>4325</v>
      </c>
      <c r="I118" s="5"/>
    </row>
    <row r="119" spans="1:9" ht="15.9" customHeight="1">
      <c r="A119" s="4">
        <v>115</v>
      </c>
      <c r="B119" s="3" t="str">
        <f>HYPERLINK("https://jpna.jp/","Japanese Psychiatric Nurses Association")</f>
        <v>Japanese Psychiatric Nurses Association</v>
      </c>
      <c r="C119" s="5" t="s">
        <v>15</v>
      </c>
      <c r="D119" s="5" t="s">
        <v>316</v>
      </c>
      <c r="E119" s="5" t="s">
        <v>316</v>
      </c>
      <c r="F119" s="3" t="s">
        <v>704</v>
      </c>
      <c r="G119" s="15">
        <v>4</v>
      </c>
      <c r="H119" s="5" t="s">
        <v>4925</v>
      </c>
      <c r="I119" s="5"/>
    </row>
    <row r="120" spans="1:9" ht="15.9" customHeight="1">
      <c r="A120" s="4">
        <v>116</v>
      </c>
      <c r="B120" s="3" t="str">
        <f>HYPERLINK("https://www.rounen.org/","Japanese Psychogeriatric Society")</f>
        <v>Japanese Psychogeriatric Society</v>
      </c>
      <c r="C120" s="5" t="s">
        <v>15</v>
      </c>
      <c r="D120" s="5" t="s">
        <v>316</v>
      </c>
      <c r="E120" s="5" t="s">
        <v>316</v>
      </c>
      <c r="F120" s="3" t="s">
        <v>621</v>
      </c>
      <c r="G120" s="15">
        <v>5</v>
      </c>
      <c r="H120" s="5" t="s">
        <v>4925</v>
      </c>
      <c r="I120" s="5"/>
    </row>
    <row r="121" spans="1:9" ht="15.9" customHeight="1">
      <c r="A121" s="4">
        <v>117</v>
      </c>
      <c r="B121" s="3" t="str">
        <f>HYPERLINK("https://www.jsbp.org/","Japanese Society of Biological Psychiatry (JSBP)")</f>
        <v>Japanese Society of Biological Psychiatry (JSBP)</v>
      </c>
      <c r="C121" s="5" t="s">
        <v>15</v>
      </c>
      <c r="D121" s="5" t="s">
        <v>316</v>
      </c>
      <c r="E121" s="5" t="s">
        <v>316</v>
      </c>
      <c r="F121" s="3" t="s">
        <v>624</v>
      </c>
      <c r="G121" s="15">
        <v>4</v>
      </c>
      <c r="H121" s="5" t="s">
        <v>4925</v>
      </c>
      <c r="I121" s="5"/>
    </row>
    <row r="122" spans="1:9" ht="15.9" customHeight="1">
      <c r="A122" s="4">
        <v>118</v>
      </c>
      <c r="B122" s="3" t="str">
        <f>HYPERLINK("https://child-adolesc.jp/","Japanese Society of Child and Adolescent Psychiatry")</f>
        <v>Japanese Society of Child and Adolescent Psychiatry</v>
      </c>
      <c r="C122" s="5" t="s">
        <v>15</v>
      </c>
      <c r="D122" s="5" t="s">
        <v>316</v>
      </c>
      <c r="E122" s="5" t="s">
        <v>316</v>
      </c>
      <c r="F122" s="3" t="s">
        <v>691</v>
      </c>
      <c r="G122" s="15">
        <v>4</v>
      </c>
      <c r="H122" s="5" t="s">
        <v>4925</v>
      </c>
      <c r="I122" s="5"/>
    </row>
    <row r="123" spans="1:9" ht="15.9" customHeight="1">
      <c r="A123" s="4">
        <v>119</v>
      </c>
      <c r="B123" s="3" t="str">
        <f>HYPERLINK("https://jscnp.org/","Japanese Society of Clinical Neuropsychopharmacology")</f>
        <v>Japanese Society of Clinical Neuropsychopharmacology</v>
      </c>
      <c r="C123" s="5" t="s">
        <v>15</v>
      </c>
      <c r="D123" s="5" t="s">
        <v>316</v>
      </c>
      <c r="E123" s="5" t="s">
        <v>316</v>
      </c>
      <c r="F123" s="3" t="s">
        <v>700</v>
      </c>
      <c r="G123" s="15">
        <v>5</v>
      </c>
      <c r="H123" s="5" t="s">
        <v>4925</v>
      </c>
      <c r="I123" s="5"/>
    </row>
    <row r="124" spans="1:9" ht="15.9" customHeight="1">
      <c r="A124" s="4">
        <v>120</v>
      </c>
      <c r="B124" s="3" t="str">
        <f>HYPERLINK("https://www.neurology-jp.org/","Japanese Society of Neurology")</f>
        <v>Japanese Society of Neurology</v>
      </c>
      <c r="C124" s="5" t="s">
        <v>15</v>
      </c>
      <c r="D124" s="5" t="s">
        <v>316</v>
      </c>
      <c r="E124" s="5" t="s">
        <v>316</v>
      </c>
      <c r="F124" s="3" t="s">
        <v>618</v>
      </c>
      <c r="G124" s="15">
        <v>8</v>
      </c>
      <c r="H124" s="5" t="s">
        <v>4925</v>
      </c>
      <c r="I124" s="5"/>
    </row>
    <row r="125" spans="1:9" ht="15.9" customHeight="1">
      <c r="A125" s="4">
        <v>121</v>
      </c>
      <c r="B125" s="3" t="str">
        <f>HYPERLINK("https://jssr.info/","Japanese Society of Schizophrenia Research")</f>
        <v>Japanese Society of Schizophrenia Research</v>
      </c>
      <c r="C125" s="5" t="s">
        <v>15</v>
      </c>
      <c r="D125" s="5" t="s">
        <v>316</v>
      </c>
      <c r="E125" s="5" t="s">
        <v>316</v>
      </c>
      <c r="F125" s="3" t="s">
        <v>616</v>
      </c>
      <c r="G125" s="15">
        <v>1</v>
      </c>
      <c r="H125" s="5" t="s">
        <v>371</v>
      </c>
      <c r="I125" s="5"/>
    </row>
    <row r="126" spans="1:9" ht="15.9" customHeight="1">
      <c r="A126" s="4">
        <v>122</v>
      </c>
      <c r="B126" s="3" t="str">
        <f>HYPERLINK("http://www.neuropsychology.gr.jp/","Neuropsychology Association of Japan")</f>
        <v>Neuropsychology Association of Japan</v>
      </c>
      <c r="C126" s="5" t="s">
        <v>15</v>
      </c>
      <c r="D126" s="5" t="s">
        <v>316</v>
      </c>
      <c r="E126" s="5" t="s">
        <v>316</v>
      </c>
      <c r="F126" s="3" t="s">
        <v>627</v>
      </c>
      <c r="G126" s="15">
        <v>5</v>
      </c>
      <c r="H126" s="5" t="s">
        <v>4925</v>
      </c>
      <c r="I126" s="5"/>
    </row>
    <row r="127" spans="1:9" ht="15.9" customHeight="1">
      <c r="A127" s="4">
        <v>123</v>
      </c>
      <c r="B127" s="3" t="str">
        <f>HYPERLINK("http://www.jnpaonline.org/","The Japanese Neuropsychiatric Association")</f>
        <v>The Japanese Neuropsychiatric Association</v>
      </c>
      <c r="C127" s="5" t="s">
        <v>15</v>
      </c>
      <c r="D127" s="5" t="s">
        <v>316</v>
      </c>
      <c r="E127" s="5" t="s">
        <v>316</v>
      </c>
      <c r="F127" s="3" t="s">
        <v>620</v>
      </c>
      <c r="G127" s="15">
        <v>3</v>
      </c>
      <c r="H127" s="5" t="s">
        <v>4325</v>
      </c>
      <c r="I127" s="5"/>
    </row>
    <row r="128" spans="1:9" ht="15.9" customHeight="1">
      <c r="A128" s="4">
        <v>124</v>
      </c>
      <c r="B128" s="3" t="str">
        <f>HYPERLINK("https://www.jsnp-org.jp/","The Japanese Society of Neuropsychopharmacology")</f>
        <v>The Japanese Society of Neuropsychopharmacology</v>
      </c>
      <c r="C128" s="5" t="s">
        <v>15</v>
      </c>
      <c r="D128" s="5" t="s">
        <v>316</v>
      </c>
      <c r="E128" s="5" t="s">
        <v>316</v>
      </c>
      <c r="F128" s="3" t="s">
        <v>617</v>
      </c>
      <c r="G128" s="15">
        <v>5</v>
      </c>
      <c r="H128" s="5" t="s">
        <v>4925</v>
      </c>
      <c r="I128" s="5"/>
    </row>
    <row r="129" spans="1:9" ht="15.9" customHeight="1">
      <c r="A129" s="4">
        <v>125</v>
      </c>
      <c r="B129" s="3" t="str">
        <f>HYPERLINK("https://www.jspn.or.jp/","The Japanese Society of Psychiatry and Neurology (JSPN)")</f>
        <v>The Japanese Society of Psychiatry and Neurology (JSPN)</v>
      </c>
      <c r="C129" s="5" t="s">
        <v>15</v>
      </c>
      <c r="D129" s="5" t="s">
        <v>316</v>
      </c>
      <c r="E129" s="5" t="s">
        <v>316</v>
      </c>
      <c r="F129" s="3" t="s">
        <v>615</v>
      </c>
      <c r="G129" s="15">
        <v>4</v>
      </c>
      <c r="H129" s="5" t="s">
        <v>4925</v>
      </c>
      <c r="I129" s="5"/>
    </row>
    <row r="130" spans="1:9" ht="15.9" customHeight="1">
      <c r="A130" s="4">
        <v>126</v>
      </c>
      <c r="B130" s="3" t="str">
        <f>HYPERLINK("http://www.brainscience-union.jp/","Union of Brain Science Associations in Japan")</f>
        <v>Union of Brain Science Associations in Japan</v>
      </c>
      <c r="C130" s="5" t="s">
        <v>15</v>
      </c>
      <c r="D130" s="5" t="s">
        <v>316</v>
      </c>
      <c r="E130" s="5" t="s">
        <v>316</v>
      </c>
      <c r="F130" s="3" t="s">
        <v>628</v>
      </c>
      <c r="G130" s="15">
        <v>8</v>
      </c>
      <c r="H130" s="5" t="s">
        <v>4925</v>
      </c>
      <c r="I130" s="5"/>
    </row>
    <row r="131" spans="1:9" ht="15.9" customHeight="1">
      <c r="A131" s="4">
        <v>127</v>
      </c>
      <c r="B131" s="3" t="str">
        <f>HYPERLINK("https://fanpse.org/","Federation of Spanish Neuropsychology Associations (FANPSE)")</f>
        <v>Federation of Spanish Neuropsychology Associations (FANPSE)</v>
      </c>
      <c r="C131" s="5" t="s">
        <v>15</v>
      </c>
      <c r="D131" s="5" t="s">
        <v>311</v>
      </c>
      <c r="E131" s="5" t="s">
        <v>311</v>
      </c>
      <c r="F131" s="3" t="s">
        <v>682</v>
      </c>
      <c r="G131" s="15">
        <v>5</v>
      </c>
      <c r="H131" s="5" t="s">
        <v>4925</v>
      </c>
      <c r="I131" s="5"/>
    </row>
    <row r="132" spans="1:9" ht="15.9" customHeight="1">
      <c r="A132" s="4">
        <v>128</v>
      </c>
      <c r="B132" s="3" t="str">
        <f>HYPERLINK("https://fneurociencias.org/","Neuroscience Foundation")</f>
        <v>Neuroscience Foundation</v>
      </c>
      <c r="C132" s="5" t="s">
        <v>15</v>
      </c>
      <c r="D132" s="5" t="s">
        <v>311</v>
      </c>
      <c r="E132" s="5" t="s">
        <v>311</v>
      </c>
      <c r="F132" s="3" t="s">
        <v>681</v>
      </c>
      <c r="G132" s="15">
        <v>8</v>
      </c>
      <c r="H132" s="5" t="s">
        <v>4925</v>
      </c>
      <c r="I132" s="5"/>
    </row>
    <row r="133" spans="1:9" ht="15.9" customHeight="1">
      <c r="A133" s="4">
        <v>129</v>
      </c>
      <c r="B133" s="3" t="str">
        <f>HYPERLINK("https://aepnya.es/","Spanish Association of Child and Adolescent Psychiatry (AEPNYA)")</f>
        <v>Spanish Association of Child and Adolescent Psychiatry (AEPNYA)</v>
      </c>
      <c r="C133" s="5" t="s">
        <v>15</v>
      </c>
      <c r="D133" s="5" t="s">
        <v>311</v>
      </c>
      <c r="E133" s="5" t="s">
        <v>311</v>
      </c>
      <c r="F133" s="3" t="s">
        <v>676</v>
      </c>
      <c r="G133" s="15">
        <v>4</v>
      </c>
      <c r="H133" s="5" t="s">
        <v>4925</v>
      </c>
      <c r="I133" s="5"/>
    </row>
    <row r="134" spans="1:9" ht="15.9" customHeight="1">
      <c r="A134" s="4">
        <v>130</v>
      </c>
      <c r="B134" s="3" t="str">
        <f>HYPERLINK("https://aen.es/","Spanish Association of Neuropsychiatry (AEN)")</f>
        <v>Spanish Association of Neuropsychiatry (AEN)</v>
      </c>
      <c r="C134" s="5" t="s">
        <v>15</v>
      </c>
      <c r="D134" s="5" t="s">
        <v>311</v>
      </c>
      <c r="E134" s="5" t="s">
        <v>311</v>
      </c>
      <c r="F134" s="3" t="s">
        <v>678</v>
      </c>
      <c r="G134" s="15">
        <v>3</v>
      </c>
      <c r="H134" s="5" t="s">
        <v>4325</v>
      </c>
      <c r="I134" s="5"/>
    </row>
    <row r="135" spans="1:9" ht="15.9" customHeight="1">
      <c r="A135" s="4">
        <v>131</v>
      </c>
      <c r="B135" s="3" t="str">
        <f>HYPERLINK("https://www.sepypna.com/","Spanish Society of Child and Adolescent Psychiatry and Psychotherapy")</f>
        <v>Spanish Society of Child and Adolescent Psychiatry and Psychotherapy</v>
      </c>
      <c r="C135" s="5" t="s">
        <v>15</v>
      </c>
      <c r="D135" s="5" t="s">
        <v>311</v>
      </c>
      <c r="E135" s="5" t="s">
        <v>311</v>
      </c>
      <c r="F135" s="3" t="s">
        <v>689</v>
      </c>
      <c r="G135" s="15">
        <v>4</v>
      </c>
      <c r="H135" s="5" t="s">
        <v>4925</v>
      </c>
      <c r="I135" s="5"/>
    </row>
    <row r="136" spans="1:9" ht="15.9" customHeight="1">
      <c r="A136" s="4">
        <v>132</v>
      </c>
      <c r="B136" s="3" t="str">
        <f>HYPERLINK("https://sepcys.es/","Spanish Society of Clinical and Health Psychology (SEPCyS)")</f>
        <v>Spanish Society of Clinical and Health Psychology (SEPCyS)</v>
      </c>
      <c r="C136" s="5" t="s">
        <v>15</v>
      </c>
      <c r="D136" s="5" t="s">
        <v>311</v>
      </c>
      <c r="E136" s="5" t="s">
        <v>311</v>
      </c>
      <c r="F136" s="3" t="s">
        <v>703</v>
      </c>
      <c r="G136" s="15">
        <v>5</v>
      </c>
      <c r="H136" s="5" t="s">
        <v>4925</v>
      </c>
      <c r="I136" s="5"/>
    </row>
    <row r="137" spans="1:9" ht="15.9" customHeight="1">
      <c r="A137" s="4">
        <v>133</v>
      </c>
      <c r="B137" s="3" t="str">
        <f>HYPERLINK("https://www.anpir.org/","Spanish Society of Clinical Psychology (ANPIR)")</f>
        <v>Spanish Society of Clinical Psychology (ANPIR)</v>
      </c>
      <c r="C137" s="5" t="s">
        <v>15</v>
      </c>
      <c r="D137" s="5" t="s">
        <v>311</v>
      </c>
      <c r="E137" s="5" t="s">
        <v>311</v>
      </c>
      <c r="F137" s="3" t="s">
        <v>679</v>
      </c>
      <c r="G137" s="15">
        <v>5</v>
      </c>
      <c r="H137" s="5" t="s">
        <v>4925</v>
      </c>
      <c r="I137" s="5"/>
    </row>
    <row r="138" spans="1:9" ht="15.9" customHeight="1">
      <c r="A138" s="4">
        <v>134</v>
      </c>
      <c r="B138" s="3" t="str">
        <f>HYPERLINK("https://seegg.es/","Spanish Society of Geriatric and Gerontological Nursing")</f>
        <v>Spanish Society of Geriatric and Gerontological Nursing</v>
      </c>
      <c r="C138" s="5" t="s">
        <v>15</v>
      </c>
      <c r="D138" s="5" t="s">
        <v>311</v>
      </c>
      <c r="E138" s="5" t="s">
        <v>311</v>
      </c>
      <c r="F138" s="3" t="s">
        <v>4438</v>
      </c>
      <c r="G138" s="15">
        <v>9</v>
      </c>
      <c r="H138" s="5" t="s">
        <v>4925</v>
      </c>
      <c r="I138" s="5"/>
    </row>
    <row r="139" spans="1:9" ht="15.9" customHeight="1">
      <c r="A139" s="4">
        <v>135</v>
      </c>
      <c r="B139" s="3" t="str">
        <f>HYPERLINK("https://www.segg.es/","Spanish Society of Geriatrics and Gerontology")</f>
        <v>Spanish Society of Geriatrics and Gerontology</v>
      </c>
      <c r="C139" s="5" t="s">
        <v>15</v>
      </c>
      <c r="D139" s="5" t="s">
        <v>311</v>
      </c>
      <c r="E139" s="5" t="s">
        <v>311</v>
      </c>
      <c r="F139" s="3" t="s">
        <v>4437</v>
      </c>
      <c r="G139" s="15">
        <v>9</v>
      </c>
      <c r="H139" s="5" t="s">
        <v>4925</v>
      </c>
      <c r="I139" s="5"/>
    </row>
    <row r="140" spans="1:9" ht="15.9" customHeight="1">
      <c r="A140" s="4">
        <v>136</v>
      </c>
      <c r="B140" s="3" t="str">
        <f>HYPERLINK("https://www.sen.es/","Spanish Society of Neurology")</f>
        <v>Spanish Society of Neurology</v>
      </c>
      <c r="C140" s="5" t="s">
        <v>15</v>
      </c>
      <c r="D140" s="5" t="s">
        <v>311</v>
      </c>
      <c r="E140" s="5" t="s">
        <v>311</v>
      </c>
      <c r="F140" s="3" t="s">
        <v>680</v>
      </c>
      <c r="G140" s="15">
        <v>8</v>
      </c>
      <c r="H140" s="5" t="s">
        <v>4925</v>
      </c>
      <c r="I140" s="5"/>
    </row>
    <row r="141" spans="1:9" ht="15.9" customHeight="1">
      <c r="A141" s="4">
        <v>137</v>
      </c>
      <c r="B141" s="3" t="str">
        <f>HYPERLINK("https://www.senc.es/","Spanish Society of Neuroscience")</f>
        <v>Spanish Society of Neuroscience</v>
      </c>
      <c r="C141" s="5" t="s">
        <v>15</v>
      </c>
      <c r="D141" s="5" t="s">
        <v>311</v>
      </c>
      <c r="E141" s="5" t="s">
        <v>311</v>
      </c>
      <c r="F141" s="3" t="s">
        <v>683</v>
      </c>
      <c r="G141" s="15">
        <v>8</v>
      </c>
      <c r="H141" s="5" t="s">
        <v>4925</v>
      </c>
      <c r="I141" s="5"/>
    </row>
    <row r="142" spans="1:9" ht="15.9" customHeight="1">
      <c r="A142" s="4">
        <v>138</v>
      </c>
      <c r="B142" s="3" t="str">
        <f>HYPERLINK("https://sepsm.org/","Spanish Society of Psychiatry and Mental Health (SEPSM)")</f>
        <v>Spanish Society of Psychiatry and Mental Health (SEPSM)</v>
      </c>
      <c r="C142" s="5" t="s">
        <v>15</v>
      </c>
      <c r="D142" s="5" t="s">
        <v>311</v>
      </c>
      <c r="E142" s="5" t="s">
        <v>311</v>
      </c>
      <c r="F142" s="3" t="s">
        <v>677</v>
      </c>
      <c r="G142" s="15">
        <v>4</v>
      </c>
      <c r="H142" s="5" t="s">
        <v>4925</v>
      </c>
      <c r="I142" s="5"/>
    </row>
    <row r="143" spans="1:9" ht="15.9" customHeight="1">
      <c r="A143" s="4">
        <v>139</v>
      </c>
      <c r="B143" s="3" t="str">
        <f>HYPERLINK("https://www.sepg.es/","Spanish Society of Psychogeriatrics (SEPG)")</f>
        <v>Spanish Society of Psychogeriatrics (SEPG)</v>
      </c>
      <c r="C143" s="5" t="s">
        <v>15</v>
      </c>
      <c r="D143" s="5" t="s">
        <v>311</v>
      </c>
      <c r="E143" s="5" t="s">
        <v>311</v>
      </c>
      <c r="F143" s="3" t="s">
        <v>4436</v>
      </c>
      <c r="G143" s="15">
        <v>5</v>
      </c>
      <c r="H143" s="5" t="s">
        <v>4925</v>
      </c>
      <c r="I143" s="5"/>
    </row>
    <row r="144" spans="1:9" ht="15.9" customHeight="1">
      <c r="A144" s="4">
        <v>140</v>
      </c>
      <c r="B144" s="3" t="str">
        <f>HYPERLINK("https://www.acamh.org/","Association for Child and Adolescent Mental Health")</f>
        <v>Association for Child and Adolescent Mental Health</v>
      </c>
      <c r="C144" s="5" t="s">
        <v>15</v>
      </c>
      <c r="D144" s="5" t="s">
        <v>17</v>
      </c>
      <c r="E144" s="5" t="s">
        <v>17</v>
      </c>
      <c r="F144" s="3" t="s">
        <v>647</v>
      </c>
      <c r="G144" s="15">
        <v>4</v>
      </c>
      <c r="H144" s="5" t="s">
        <v>4925</v>
      </c>
      <c r="I144" s="5"/>
    </row>
    <row r="145" spans="1:9" ht="15.9" customHeight="1">
      <c r="A145" s="4">
        <v>141</v>
      </c>
      <c r="B145" s="3" t="str">
        <f>HYPERLINK("https://www.theabn.org/","Association of British Neurologists")</f>
        <v>Association of British Neurologists</v>
      </c>
      <c r="C145" s="5" t="s">
        <v>15</v>
      </c>
      <c r="D145" s="5" t="s">
        <v>17</v>
      </c>
      <c r="E145" s="5" t="s">
        <v>17</v>
      </c>
      <c r="F145" s="3" t="s">
        <v>634</v>
      </c>
      <c r="G145" s="15">
        <v>8</v>
      </c>
      <c r="H145" s="5" t="s">
        <v>4925</v>
      </c>
      <c r="I145" s="5"/>
    </row>
    <row r="146" spans="1:9" ht="15.9" customHeight="1">
      <c r="A146" s="4">
        <v>142</v>
      </c>
      <c r="B146" s="3" t="str">
        <f>HYPERLINK("https://amhp.org.uk/","Association of Mental Health Providers")</f>
        <v>Association of Mental Health Providers</v>
      </c>
      <c r="C146" s="5" t="s">
        <v>15</v>
      </c>
      <c r="D146" s="5" t="s">
        <v>17</v>
      </c>
      <c r="E146" s="5" t="s">
        <v>17</v>
      </c>
      <c r="F146" s="3" t="s">
        <v>662</v>
      </c>
      <c r="G146" s="15">
        <v>4</v>
      </c>
      <c r="H146" s="5" t="s">
        <v>4925</v>
      </c>
      <c r="I146" s="5"/>
    </row>
    <row r="147" spans="1:9" ht="15.9" customHeight="1">
      <c r="A147" s="4">
        <v>143</v>
      </c>
      <c r="B147" s="3" t="str">
        <f>HYPERLINK("https://www.bap.org.uk/","British Association for Psychopharmacology")</f>
        <v>British Association for Psychopharmacology</v>
      </c>
      <c r="C147" s="5" t="s">
        <v>15</v>
      </c>
      <c r="D147" s="5" t="s">
        <v>17</v>
      </c>
      <c r="E147" s="5" t="s">
        <v>17</v>
      </c>
      <c r="F147" s="3" t="s">
        <v>714</v>
      </c>
      <c r="G147" s="15">
        <v>5</v>
      </c>
      <c r="H147" s="5" t="s">
        <v>4925</v>
      </c>
      <c r="I147" s="5"/>
    </row>
    <row r="148" spans="1:9" ht="15.9" customHeight="1">
      <c r="A148" s="4">
        <v>144</v>
      </c>
      <c r="B148" s="3" t="str">
        <f>HYPERLINK("https://www.bgs.org.uk/","British Geriatrics Society")</f>
        <v>British Geriatrics Society</v>
      </c>
      <c r="C148" s="5" t="s">
        <v>15</v>
      </c>
      <c r="D148" s="5" t="s">
        <v>17</v>
      </c>
      <c r="E148" s="5" t="s">
        <v>26</v>
      </c>
      <c r="F148" s="3" t="s">
        <v>4439</v>
      </c>
      <c r="G148" s="15">
        <v>9</v>
      </c>
      <c r="H148" s="5" t="s">
        <v>4925</v>
      </c>
      <c r="I148" s="5"/>
    </row>
    <row r="149" spans="1:9" ht="15.9" customHeight="1">
      <c r="A149" s="4">
        <v>145</v>
      </c>
      <c r="B149" s="3" t="str">
        <f>HYPERLINK("https://bnpa.org.uk/","British Neuropsychiatry Association")</f>
        <v>British Neuropsychiatry Association</v>
      </c>
      <c r="C149" s="5" t="s">
        <v>15</v>
      </c>
      <c r="D149" s="5" t="s">
        <v>17</v>
      </c>
      <c r="E149" s="5" t="s">
        <v>17</v>
      </c>
      <c r="F149" s="3" t="s">
        <v>633</v>
      </c>
      <c r="G149" s="15">
        <v>3</v>
      </c>
      <c r="H149" s="5" t="s">
        <v>4325</v>
      </c>
      <c r="I149" s="5"/>
    </row>
    <row r="150" spans="1:9" ht="15.9" customHeight="1">
      <c r="A150" s="4">
        <v>146</v>
      </c>
      <c r="B150" s="3" t="str">
        <f>HYPERLINK("https://www.bna.org.uk/","British Neuroscience Association")</f>
        <v>British Neuroscience Association</v>
      </c>
      <c r="C150" s="5" t="s">
        <v>15</v>
      </c>
      <c r="D150" s="5" t="s">
        <v>17</v>
      </c>
      <c r="E150" s="5" t="s">
        <v>17</v>
      </c>
      <c r="F150" s="3" t="s">
        <v>666</v>
      </c>
      <c r="G150" s="15">
        <v>8</v>
      </c>
      <c r="H150" s="5" t="s">
        <v>4925</v>
      </c>
      <c r="I150" s="5"/>
    </row>
    <row r="151" spans="1:9" ht="15.9" customHeight="1">
      <c r="A151" s="4">
        <v>147</v>
      </c>
      <c r="B151" s="3" t="str">
        <f>HYPERLINK("https://www.bps.org.uk/","British Psychological Society")</f>
        <v>British Psychological Society</v>
      </c>
      <c r="C151" s="5" t="s">
        <v>15</v>
      </c>
      <c r="D151" s="5" t="s">
        <v>17</v>
      </c>
      <c r="E151" s="5" t="s">
        <v>17</v>
      </c>
      <c r="F151" s="3" t="s">
        <v>665</v>
      </c>
      <c r="G151" s="15">
        <v>5</v>
      </c>
      <c r="H151" s="5" t="s">
        <v>4925</v>
      </c>
      <c r="I151" s="5"/>
    </row>
    <row r="152" spans="1:9" ht="15.9" customHeight="1">
      <c r="A152" s="4">
        <v>148</v>
      </c>
      <c r="B152" s="3" t="str">
        <f>HYPERLINK("https://www.britishgerontology.org/","British Society of Gerontology")</f>
        <v>British Society of Gerontology</v>
      </c>
      <c r="C152" s="5" t="s">
        <v>15</v>
      </c>
      <c r="D152" s="5" t="s">
        <v>17</v>
      </c>
      <c r="E152" s="5" t="s">
        <v>26</v>
      </c>
      <c r="F152" s="3" t="s">
        <v>4440</v>
      </c>
      <c r="G152" s="15">
        <v>9</v>
      </c>
      <c r="H152" s="5" t="s">
        <v>4925</v>
      </c>
      <c r="I152" s="5"/>
    </row>
    <row r="153" spans="1:9" ht="15.9" customHeight="1">
      <c r="A153" s="4">
        <v>149</v>
      </c>
      <c r="B153" s="3" t="str">
        <f>HYPERLINK("https://www.centreforglobalmentalhealth.org/","Centre for Global Mental Health")</f>
        <v>Centre for Global Mental Health</v>
      </c>
      <c r="C153" s="5" t="s">
        <v>15</v>
      </c>
      <c r="D153" s="5" t="s">
        <v>17</v>
      </c>
      <c r="E153" s="5" t="s">
        <v>17</v>
      </c>
      <c r="F153" s="3" t="s">
        <v>644</v>
      </c>
      <c r="G153" s="15">
        <v>4</v>
      </c>
      <c r="H153" s="5" t="s">
        <v>4925</v>
      </c>
      <c r="I153" s="5"/>
    </row>
    <row r="154" spans="1:9" ht="15.9" customHeight="1">
      <c r="A154" s="4">
        <v>150</v>
      </c>
      <c r="B154" s="3" t="str">
        <f>HYPERLINK("https://www.ispsuk.org/","International Society for Psychological and Social Approaches to Psychosis UK (ISPS UK)")</f>
        <v>International Society for Psychological and Social Approaches to Psychosis UK (ISPS UK)</v>
      </c>
      <c r="C154" s="5" t="s">
        <v>15</v>
      </c>
      <c r="D154" s="5" t="s">
        <v>17</v>
      </c>
      <c r="E154" s="5" t="s">
        <v>17</v>
      </c>
      <c r="F154" s="3" t="s">
        <v>629</v>
      </c>
      <c r="G154" s="15">
        <v>3</v>
      </c>
      <c r="H154" s="5" t="s">
        <v>4325</v>
      </c>
      <c r="I154" s="5"/>
    </row>
    <row r="155" spans="1:9" ht="15.9" customHeight="1">
      <c r="A155" s="4">
        <v>151</v>
      </c>
      <c r="B155" s="3" t="str">
        <f>HYPERLINK("https://neurologyacademy.org/","Neurology Academy")</f>
        <v>Neurology Academy</v>
      </c>
      <c r="C155" s="5" t="s">
        <v>15</v>
      </c>
      <c r="D155" s="5" t="s">
        <v>17</v>
      </c>
      <c r="E155" s="5" t="s">
        <v>17</v>
      </c>
      <c r="F155" s="3" t="s">
        <v>663</v>
      </c>
      <c r="G155" s="15">
        <v>8</v>
      </c>
      <c r="H155" s="5" t="s">
        <v>4925</v>
      </c>
      <c r="I155" s="5"/>
    </row>
    <row r="156" spans="1:9" ht="15.9" customHeight="1">
      <c r="A156" s="4">
        <v>152</v>
      </c>
      <c r="B156" s="3" t="str">
        <f>HYPERLINK("https://psychosisresearch.com/","Psychosis Research Unit")</f>
        <v>Psychosis Research Unit</v>
      </c>
      <c r="C156" s="5" t="s">
        <v>15</v>
      </c>
      <c r="D156" s="5" t="s">
        <v>17</v>
      </c>
      <c r="E156" s="5" t="s">
        <v>17</v>
      </c>
      <c r="F156" s="3" t="s">
        <v>708</v>
      </c>
      <c r="G156" s="15">
        <v>3</v>
      </c>
      <c r="H156" s="5" t="s">
        <v>4325</v>
      </c>
      <c r="I156" s="5"/>
    </row>
    <row r="157" spans="1:9" ht="15.9" customHeight="1">
      <c r="A157" s="4">
        <v>153</v>
      </c>
      <c r="B157" s="3" t="str">
        <f>HYPERLINK("https://www.rcpsych.ac.uk/home","Royal College of Psychiatrists")</f>
        <v>Royal College of Psychiatrists</v>
      </c>
      <c r="C157" s="5" t="s">
        <v>15</v>
      </c>
      <c r="D157" s="5" t="s">
        <v>17</v>
      </c>
      <c r="E157" s="5" t="s">
        <v>17</v>
      </c>
      <c r="F157" s="3" t="s">
        <v>702</v>
      </c>
      <c r="G157" s="15">
        <v>4</v>
      </c>
      <c r="H157" s="5" t="s">
        <v>4925</v>
      </c>
      <c r="I157" s="5"/>
    </row>
    <row r="158" spans="1:9" ht="15.9" customHeight="1">
      <c r="A158" s="4">
        <v>154</v>
      </c>
      <c r="B158" s="3" t="str">
        <f>HYPERLINK("https://www.acadpsychclinicalscience.org/","Academy of Psychological Clinical Science")</f>
        <v>Academy of Psychological Clinical Science</v>
      </c>
      <c r="C158" s="5" t="s">
        <v>15</v>
      </c>
      <c r="D158" s="5" t="s">
        <v>18</v>
      </c>
      <c r="E158" s="5" t="s">
        <v>18</v>
      </c>
      <c r="F158" s="3" t="s">
        <v>598</v>
      </c>
      <c r="G158" s="15">
        <v>5</v>
      </c>
      <c r="H158" s="5" t="s">
        <v>4925</v>
      </c>
      <c r="I158" s="5"/>
    </row>
    <row r="159" spans="1:9" ht="15.9" customHeight="1">
      <c r="A159" s="4">
        <v>155</v>
      </c>
      <c r="B159" s="3" t="str">
        <f>HYPERLINK("https://www.anmh.info/","ACTNow for Mental Health")</f>
        <v>ACTNow for Mental Health</v>
      </c>
      <c r="C159" s="5" t="s">
        <v>15</v>
      </c>
      <c r="D159" s="5" t="s">
        <v>18</v>
      </c>
      <c r="E159" s="5" t="s">
        <v>18</v>
      </c>
      <c r="F159" s="3" t="s">
        <v>635</v>
      </c>
      <c r="G159" s="15">
        <v>4</v>
      </c>
      <c r="H159" s="5" t="s">
        <v>4925</v>
      </c>
      <c r="I159" s="5"/>
    </row>
    <row r="160" spans="1:9" ht="15.9" customHeight="1">
      <c r="A160" s="4">
        <v>156</v>
      </c>
      <c r="B160" s="3" t="str">
        <f>HYPERLINK("https://www.adcs.org/","Alzheimer’s Disease Cooperative Study")</f>
        <v>Alzheimer’s Disease Cooperative Study</v>
      </c>
      <c r="C160" s="5" t="s">
        <v>15</v>
      </c>
      <c r="D160" s="5" t="s">
        <v>18</v>
      </c>
      <c r="E160" s="5" t="s">
        <v>18</v>
      </c>
      <c r="F160" s="3" t="s">
        <v>4446</v>
      </c>
      <c r="G160" s="15">
        <v>6</v>
      </c>
      <c r="H160" s="5" t="s">
        <v>4335</v>
      </c>
      <c r="I160" s="5"/>
    </row>
    <row r="161" spans="1:9" ht="15.9" customHeight="1">
      <c r="A161" s="4">
        <v>157</v>
      </c>
      <c r="B161" s="3" t="str">
        <f>HYPERLINK("https://alzheimersprevention.org/","Alzheimer’s Research and Prevention Foundation")</f>
        <v>Alzheimer’s Research and Prevention Foundation</v>
      </c>
      <c r="C161" s="5" t="s">
        <v>15</v>
      </c>
      <c r="D161" s="5" t="s">
        <v>18</v>
      </c>
      <c r="E161" s="5" t="s">
        <v>18</v>
      </c>
      <c r="F161" s="3" t="s">
        <v>4453</v>
      </c>
      <c r="G161" s="15">
        <v>6</v>
      </c>
      <c r="H161" s="5" t="s">
        <v>4335</v>
      </c>
      <c r="I161" s="5"/>
    </row>
    <row r="162" spans="1:9" ht="15.9" customHeight="1">
      <c r="A162" s="4">
        <v>158</v>
      </c>
      <c r="B162" s="3" t="str">
        <f>HYPERLINK("https://www.alzdiscovery.org/","Alzheimer's Drug Discovery Foundation")</f>
        <v>Alzheimer's Drug Discovery Foundation</v>
      </c>
      <c r="C162" s="5" t="s">
        <v>15</v>
      </c>
      <c r="D162" s="5" t="s">
        <v>18</v>
      </c>
      <c r="E162" s="5" t="s">
        <v>18</v>
      </c>
      <c r="F162" s="3" t="s">
        <v>4445</v>
      </c>
      <c r="G162" s="15">
        <v>6</v>
      </c>
      <c r="H162" s="5" t="s">
        <v>4335</v>
      </c>
      <c r="I162" s="5"/>
    </row>
    <row r="163" spans="1:9" ht="15.9" customHeight="1">
      <c r="A163" s="4">
        <v>159</v>
      </c>
      <c r="B163" s="3" t="str">
        <f>HYPERLINK("https://www.alzheimersresearchfoundation.com/","Alzheimer's Research Foundation")</f>
        <v>Alzheimer's Research Foundation</v>
      </c>
      <c r="C163" s="5" t="s">
        <v>15</v>
      </c>
      <c r="D163" s="5" t="s">
        <v>18</v>
      </c>
      <c r="E163" s="5" t="s">
        <v>18</v>
      </c>
      <c r="F163" s="3" t="s">
        <v>4448</v>
      </c>
      <c r="G163" s="15">
        <v>6</v>
      </c>
      <c r="H163" s="5" t="s">
        <v>4335</v>
      </c>
      <c r="I163" s="5"/>
    </row>
    <row r="164" spans="1:9" ht="15.9" customHeight="1">
      <c r="A164" s="4">
        <v>160</v>
      </c>
      <c r="B164" s="3" t="str">
        <f>HYPERLINK("https://www.aacap.org/","American Academy of Child and Adolescent Psychiatry")</f>
        <v>American Academy of Child and Adolescent Psychiatry</v>
      </c>
      <c r="C164" s="5" t="s">
        <v>15</v>
      </c>
      <c r="D164" s="5" t="s">
        <v>18</v>
      </c>
      <c r="E164" s="5" t="s">
        <v>18</v>
      </c>
      <c r="F164" s="3" t="s">
        <v>577</v>
      </c>
      <c r="G164" s="15">
        <v>4</v>
      </c>
      <c r="H164" s="5" t="s">
        <v>4925</v>
      </c>
      <c r="I164" s="5"/>
    </row>
    <row r="165" spans="1:9" ht="15.9" customHeight="1">
      <c r="A165" s="4">
        <v>161</v>
      </c>
      <c r="B165" s="3" t="str">
        <f>HYPERLINK("https://theaacn.org/","American Academy of Clinical Neuropsychology")</f>
        <v>American Academy of Clinical Neuropsychology</v>
      </c>
      <c r="C165" s="5" t="s">
        <v>15</v>
      </c>
      <c r="D165" s="5" t="s">
        <v>18</v>
      </c>
      <c r="E165" s="5" t="s">
        <v>18</v>
      </c>
      <c r="F165" s="3" t="s">
        <v>578</v>
      </c>
      <c r="G165" s="15">
        <v>5</v>
      </c>
      <c r="H165" s="5" t="s">
        <v>4925</v>
      </c>
      <c r="I165" s="5"/>
    </row>
    <row r="166" spans="1:9" ht="15.9" customHeight="1">
      <c r="A166" s="4">
        <v>162</v>
      </c>
      <c r="B166" s="3" t="str">
        <f>HYPERLINK("https://www.aacpsy.org/","American Academy of Clinical Psychology")</f>
        <v>American Academy of Clinical Psychology</v>
      </c>
      <c r="C166" s="5" t="s">
        <v>15</v>
      </c>
      <c r="D166" s="5" t="s">
        <v>18</v>
      </c>
      <c r="E166" s="5" t="s">
        <v>18</v>
      </c>
      <c r="F166" s="3" t="s">
        <v>597</v>
      </c>
      <c r="G166" s="15">
        <v>5</v>
      </c>
      <c r="H166" s="5" t="s">
        <v>4925</v>
      </c>
      <c r="I166" s="5"/>
    </row>
    <row r="167" spans="1:9" ht="15.9" customHeight="1">
      <c r="A167" s="4">
        <v>163</v>
      </c>
      <c r="B167" s="3" t="str">
        <f>HYPERLINK("https://www.aan.com/","American Academy of Neurology")</f>
        <v>American Academy of Neurology</v>
      </c>
      <c r="C167" s="5" t="s">
        <v>15</v>
      </c>
      <c r="D167" s="5" t="s">
        <v>18</v>
      </c>
      <c r="E167" s="5" t="s">
        <v>18</v>
      </c>
      <c r="F167" s="3" t="s">
        <v>709</v>
      </c>
      <c r="G167" s="15">
        <v>8</v>
      </c>
      <c r="H167" s="5" t="s">
        <v>4925</v>
      </c>
      <c r="I167" s="5"/>
    </row>
    <row r="168" spans="1:9" ht="15.9" customHeight="1">
      <c r="A168" s="4">
        <v>164</v>
      </c>
      <c r="B168" s="3" t="str">
        <f>HYPERLINK("https://www.communitypsychiatry.org/","American Association of Community Psychiatrists")</f>
        <v>American Association of Community Psychiatrists</v>
      </c>
      <c r="C168" s="5" t="s">
        <v>15</v>
      </c>
      <c r="D168" s="5" t="s">
        <v>18</v>
      </c>
      <c r="E168" s="5" t="s">
        <v>18</v>
      </c>
      <c r="F168" s="3" t="s">
        <v>579</v>
      </c>
      <c r="G168" s="15">
        <v>4</v>
      </c>
      <c r="H168" s="5" t="s">
        <v>4925</v>
      </c>
      <c r="I168" s="5"/>
    </row>
    <row r="169" spans="1:9" ht="15.9" customHeight="1">
      <c r="A169" s="4">
        <v>165</v>
      </c>
      <c r="B169" s="3" t="str">
        <f>HYPERLINK("https://aagponline.org/","American Association of Geriatric Psychiatry")</f>
        <v>American Association of Geriatric Psychiatry</v>
      </c>
      <c r="C169" s="5" t="s">
        <v>15</v>
      </c>
      <c r="D169" s="5" t="s">
        <v>18</v>
      </c>
      <c r="E169" s="5" t="s">
        <v>18</v>
      </c>
      <c r="F169" s="3" t="s">
        <v>580</v>
      </c>
      <c r="G169" s="15">
        <v>4</v>
      </c>
      <c r="H169" s="5" t="s">
        <v>4925</v>
      </c>
      <c r="I169" s="5"/>
    </row>
    <row r="170" spans="1:9" ht="15.9" customHeight="1">
      <c r="A170" s="4">
        <v>166</v>
      </c>
      <c r="B170" s="3" t="str">
        <f>HYPERLINK("https://theabcn.org/","American Board of Clinical Neuropsychology")</f>
        <v>American Board of Clinical Neuropsychology</v>
      </c>
      <c r="C170" s="5" t="s">
        <v>15</v>
      </c>
      <c r="D170" s="5" t="s">
        <v>18</v>
      </c>
      <c r="E170" s="5" t="s">
        <v>18</v>
      </c>
      <c r="F170" s="3" t="s">
        <v>603</v>
      </c>
      <c r="G170" s="15">
        <v>5</v>
      </c>
      <c r="H170" s="5" t="s">
        <v>4925</v>
      </c>
      <c r="I170" s="5"/>
    </row>
    <row r="171" spans="1:9" ht="15.9" customHeight="1">
      <c r="A171" s="4">
        <v>167</v>
      </c>
      <c r="B171" s="3" t="str">
        <f>HYPERLINK("https://www.abn-board.com/","American Board of Professional Neuropsychology")</f>
        <v>American Board of Professional Neuropsychology</v>
      </c>
      <c r="C171" s="5" t="s">
        <v>15</v>
      </c>
      <c r="D171" s="5" t="s">
        <v>18</v>
      </c>
      <c r="E171" s="5" t="s">
        <v>18</v>
      </c>
      <c r="F171" s="3" t="s">
        <v>604</v>
      </c>
      <c r="G171" s="15">
        <v>5</v>
      </c>
      <c r="H171" s="5" t="s">
        <v>4925</v>
      </c>
      <c r="I171" s="5"/>
    </row>
    <row r="172" spans="1:9" ht="15.9" customHeight="1">
      <c r="A172" s="4">
        <v>168</v>
      </c>
      <c r="B172" s="3" t="str">
        <f>HYPERLINK("https://abpp.org/","American Board of Professional Psychology")</f>
        <v>American Board of Professional Psychology</v>
      </c>
      <c r="C172" s="5" t="s">
        <v>15</v>
      </c>
      <c r="D172" s="5" t="s">
        <v>18</v>
      </c>
      <c r="E172" s="5" t="s">
        <v>18</v>
      </c>
      <c r="F172" s="3" t="s">
        <v>595</v>
      </c>
      <c r="G172" s="15">
        <v>5</v>
      </c>
      <c r="H172" s="5" t="s">
        <v>4925</v>
      </c>
      <c r="I172" s="5"/>
    </row>
    <row r="173" spans="1:9" ht="15.9" customHeight="1">
      <c r="A173" s="4">
        <v>169</v>
      </c>
      <c r="B173" s="3" t="str">
        <f>HYPERLINK("https://abpn.org/","American Board of Psychiatry and Neurology")</f>
        <v>American Board of Psychiatry and Neurology</v>
      </c>
      <c r="C173" s="5" t="s">
        <v>15</v>
      </c>
      <c r="D173" s="5" t="s">
        <v>18</v>
      </c>
      <c r="E173" s="5" t="s">
        <v>18</v>
      </c>
      <c r="F173" s="3" t="s">
        <v>555</v>
      </c>
      <c r="G173" s="15">
        <v>4</v>
      </c>
      <c r="H173" s="5" t="s">
        <v>4925</v>
      </c>
      <c r="I173" s="5"/>
    </row>
    <row r="174" spans="1:9" ht="15.9" customHeight="1">
      <c r="A174" s="4">
        <v>170</v>
      </c>
      <c r="B174" s="3" t="str">
        <f>HYPERLINK("https://acnp.org/","American College of Neuropsychopharmacology")</f>
        <v>American College of Neuropsychopharmacology</v>
      </c>
      <c r="C174" s="5" t="s">
        <v>15</v>
      </c>
      <c r="D174" s="5" t="s">
        <v>18</v>
      </c>
      <c r="E174" s="5" t="s">
        <v>18</v>
      </c>
      <c r="F174" s="3" t="s">
        <v>697</v>
      </c>
      <c r="G174" s="15">
        <v>5</v>
      </c>
      <c r="H174" s="5" t="s">
        <v>4925</v>
      </c>
      <c r="I174" s="5"/>
    </row>
    <row r="175" spans="1:9" ht="15.9" customHeight="1">
      <c r="A175" s="4">
        <v>171</v>
      </c>
      <c r="B175" s="3" t="str">
        <f>HYPERLINK("https://www.americangeriatrics.org/","American Geriatrics Society")</f>
        <v>American Geriatrics Society</v>
      </c>
      <c r="C175" s="5" t="s">
        <v>15</v>
      </c>
      <c r="D175" s="5" t="s">
        <v>18</v>
      </c>
      <c r="E175" s="5" t="s">
        <v>18</v>
      </c>
      <c r="F175" s="3" t="s">
        <v>4441</v>
      </c>
      <c r="G175" s="15">
        <v>9</v>
      </c>
      <c r="H175" s="5" t="s">
        <v>4925</v>
      </c>
      <c r="I175" s="5"/>
    </row>
    <row r="176" spans="1:9" ht="15.9" customHeight="1">
      <c r="A176" s="4">
        <v>172</v>
      </c>
      <c r="B176" s="3" t="str">
        <f>HYPERLINK("https://www.agpa.org","American Group Psychotherapy Association")</f>
        <v>American Group Psychotherapy Association</v>
      </c>
      <c r="C176" s="5" t="s">
        <v>15</v>
      </c>
      <c r="D176" s="5" t="s">
        <v>18</v>
      </c>
      <c r="E176" s="5" t="s">
        <v>18</v>
      </c>
      <c r="F176" s="3" t="s">
        <v>573</v>
      </c>
      <c r="G176" s="15">
        <v>5</v>
      </c>
      <c r="H176" s="5" t="s">
        <v>4925</v>
      </c>
      <c r="I176" s="5"/>
    </row>
    <row r="177" spans="1:9" ht="15.9" customHeight="1">
      <c r="A177" s="4">
        <v>173</v>
      </c>
      <c r="B177" s="3" t="str">
        <f>HYPERLINK("https://www.amhca.org/home","American Mental Health Counselors Association")</f>
        <v>American Mental Health Counselors Association</v>
      </c>
      <c r="C177" s="5" t="s">
        <v>15</v>
      </c>
      <c r="D177" s="5" t="s">
        <v>18</v>
      </c>
      <c r="E177" s="5" t="s">
        <v>18</v>
      </c>
      <c r="F177" s="3" t="s">
        <v>636</v>
      </c>
      <c r="G177" s="15">
        <v>4</v>
      </c>
      <c r="H177" s="5" t="s">
        <v>4925</v>
      </c>
      <c r="I177" s="5"/>
    </row>
    <row r="178" spans="1:9" ht="15.9" customHeight="1">
      <c r="A178" s="4">
        <v>174</v>
      </c>
      <c r="B178" s="3" t="str">
        <f>HYPERLINK("https://myana.org/","American Neurological Association")</f>
        <v>American Neurological Association</v>
      </c>
      <c r="C178" s="5" t="s">
        <v>15</v>
      </c>
      <c r="D178" s="5" t="s">
        <v>18</v>
      </c>
      <c r="E178" s="5" t="s">
        <v>18</v>
      </c>
      <c r="F178" s="3" t="s">
        <v>667</v>
      </c>
      <c r="G178" s="15">
        <v>8</v>
      </c>
      <c r="H178" s="5" t="s">
        <v>4925</v>
      </c>
      <c r="I178" s="5"/>
    </row>
    <row r="179" spans="1:9" ht="15.9" customHeight="1">
      <c r="A179" s="4">
        <v>175</v>
      </c>
      <c r="B179" s="3" t="str">
        <f>HYPERLINK("https://www.anpaonline.org/","American Neuropsychiatric Association")</f>
        <v>American Neuropsychiatric Association</v>
      </c>
      <c r="C179" s="5" t="s">
        <v>15</v>
      </c>
      <c r="D179" s="5" t="s">
        <v>18</v>
      </c>
      <c r="E179" s="5" t="s">
        <v>18</v>
      </c>
      <c r="F179" s="3" t="s">
        <v>551</v>
      </c>
      <c r="G179" s="15">
        <v>3</v>
      </c>
      <c r="H179" s="5" t="s">
        <v>4325</v>
      </c>
      <c r="I179" s="5"/>
    </row>
    <row r="180" spans="1:9" ht="15.9" customHeight="1">
      <c r="A180" s="4">
        <v>176</v>
      </c>
      <c r="B180" s="3" t="str">
        <f>HYPERLINK("https://www.psychiatry.org/","American Psychiatric Association")</f>
        <v>American Psychiatric Association</v>
      </c>
      <c r="C180" s="5" t="s">
        <v>15</v>
      </c>
      <c r="D180" s="5" t="s">
        <v>18</v>
      </c>
      <c r="E180" s="5" t="s">
        <v>18</v>
      </c>
      <c r="F180" s="3" t="s">
        <v>554</v>
      </c>
      <c r="G180" s="15">
        <v>4</v>
      </c>
      <c r="H180" s="5" t="s">
        <v>4925</v>
      </c>
      <c r="I180" s="5"/>
    </row>
    <row r="181" spans="1:9" ht="15.9" customHeight="1">
      <c r="A181" s="4">
        <v>177</v>
      </c>
      <c r="B181" s="3" t="str">
        <f>HYPERLINK("https://www.apna.org/","American Psychiatric Nurses Association")</f>
        <v>American Psychiatric Nurses Association</v>
      </c>
      <c r="C181" s="5" t="s">
        <v>15</v>
      </c>
      <c r="D181" s="5" t="s">
        <v>18</v>
      </c>
      <c r="E181" s="5" t="s">
        <v>18</v>
      </c>
      <c r="F181" s="3" t="s">
        <v>581</v>
      </c>
      <c r="G181" s="15">
        <v>4</v>
      </c>
      <c r="H181" s="5" t="s">
        <v>4925</v>
      </c>
      <c r="I181" s="5"/>
    </row>
    <row r="182" spans="1:9" ht="15.9" customHeight="1">
      <c r="A182" s="4">
        <v>178</v>
      </c>
      <c r="B182" s="3" t="str">
        <f>HYPERLINK("https://apsa.org/","American Psychoanalytic Association")</f>
        <v>American Psychoanalytic Association</v>
      </c>
      <c r="C182" s="5" t="s">
        <v>15</v>
      </c>
      <c r="D182" s="5" t="s">
        <v>18</v>
      </c>
      <c r="E182" s="5" t="s">
        <v>18</v>
      </c>
      <c r="F182" s="3" t="s">
        <v>572</v>
      </c>
      <c r="G182" s="15">
        <v>5</v>
      </c>
      <c r="H182" s="5" t="s">
        <v>4925</v>
      </c>
      <c r="I182" s="5"/>
    </row>
    <row r="183" spans="1:9" ht="15.9" customHeight="1">
      <c r="A183" s="4">
        <v>179</v>
      </c>
      <c r="B183" s="3" t="str">
        <f>HYPERLINK("https://www.apa.org/","American Psychological Association")</f>
        <v>American Psychological Association</v>
      </c>
      <c r="C183" s="5" t="s">
        <v>15</v>
      </c>
      <c r="D183" s="5" t="s">
        <v>18</v>
      </c>
      <c r="E183" s="5" t="s">
        <v>18</v>
      </c>
      <c r="F183" s="3" t="s">
        <v>661</v>
      </c>
      <c r="G183" s="15">
        <v>5</v>
      </c>
      <c r="H183" s="5" t="s">
        <v>4925</v>
      </c>
      <c r="I183" s="5"/>
    </row>
    <row r="184" spans="1:9" ht="15.9" customHeight="1">
      <c r="A184" s="4">
        <v>180</v>
      </c>
      <c r="B184" s="3" t="str">
        <f>HYPERLINK("https://ampsychfdn.org/","American Psychological Foundation")</f>
        <v>American Psychological Foundation</v>
      </c>
      <c r="C184" s="5" t="s">
        <v>15</v>
      </c>
      <c r="D184" s="5" t="s">
        <v>18</v>
      </c>
      <c r="E184" s="5" t="s">
        <v>18</v>
      </c>
      <c r="F184" s="3" t="s">
        <v>611</v>
      </c>
      <c r="G184" s="15">
        <v>5</v>
      </c>
      <c r="H184" s="5" t="s">
        <v>4925</v>
      </c>
      <c r="I184" s="5"/>
    </row>
    <row r="185" spans="1:9" ht="15.9" customHeight="1">
      <c r="A185" s="4">
        <v>181</v>
      </c>
      <c r="B185" s="3" t="str">
        <f>HYPERLINK("https://americanpsychotherapy.com/","American Psychotherapy Association")</f>
        <v>American Psychotherapy Association</v>
      </c>
      <c r="C185" s="5" t="s">
        <v>15</v>
      </c>
      <c r="D185" s="5" t="s">
        <v>18</v>
      </c>
      <c r="E185" s="5" t="s">
        <v>18</v>
      </c>
      <c r="F185" s="3" t="s">
        <v>570</v>
      </c>
      <c r="G185" s="15">
        <v>5</v>
      </c>
      <c r="H185" s="5" t="s">
        <v>4925</v>
      </c>
      <c r="I185" s="5"/>
    </row>
    <row r="186" spans="1:9" ht="15.9" customHeight="1">
      <c r="A186" s="4">
        <v>182</v>
      </c>
      <c r="B186" s="3" t="str">
        <f>HYPERLINK("https://www.abct.org/","Association for Behavioral and Cognitive Therapies")</f>
        <v>Association for Behavioral and Cognitive Therapies</v>
      </c>
      <c r="C186" s="5" t="s">
        <v>15</v>
      </c>
      <c r="D186" s="5" t="s">
        <v>18</v>
      </c>
      <c r="E186" s="5" t="s">
        <v>18</v>
      </c>
      <c r="F186" s="3" t="s">
        <v>582</v>
      </c>
      <c r="G186" s="15">
        <v>8</v>
      </c>
      <c r="H186" s="5" t="s">
        <v>4925</v>
      </c>
      <c r="I186" s="5"/>
    </row>
    <row r="187" spans="1:9" ht="15.9" customHeight="1">
      <c r="A187" s="4">
        <v>183</v>
      </c>
      <c r="B187" s="3" t="str">
        <f>HYPERLINK("https://contextualscience.org/","Association for Contextual Behavioral Science")</f>
        <v>Association for Contextual Behavioral Science</v>
      </c>
      <c r="C187" s="5" t="s">
        <v>15</v>
      </c>
      <c r="D187" s="5" t="s">
        <v>18</v>
      </c>
      <c r="E187" s="5" t="s">
        <v>18</v>
      </c>
      <c r="F187" s="3" t="s">
        <v>583</v>
      </c>
      <c r="G187" s="15">
        <v>8</v>
      </c>
      <c r="H187" s="5" t="s">
        <v>4925</v>
      </c>
      <c r="I187" s="5"/>
    </row>
    <row r="188" spans="1:9" ht="15.9" customHeight="1">
      <c r="A188" s="4">
        <v>184</v>
      </c>
      <c r="B188" s="3" t="str">
        <f>HYPERLINK("https://abpsi.org/","Association of Black Psychologists")</f>
        <v>Association of Black Psychologists</v>
      </c>
      <c r="C188" s="5" t="s">
        <v>15</v>
      </c>
      <c r="D188" s="5" t="s">
        <v>18</v>
      </c>
      <c r="E188" s="5" t="s">
        <v>18</v>
      </c>
      <c r="F188" s="3" t="s">
        <v>593</v>
      </c>
      <c r="G188" s="15">
        <v>5</v>
      </c>
      <c r="H188" s="5" t="s">
        <v>4925</v>
      </c>
      <c r="I188" s="5"/>
    </row>
    <row r="189" spans="1:9" ht="15.9" customHeight="1">
      <c r="A189" s="4">
        <v>185</v>
      </c>
      <c r="B189" s="3" t="str">
        <f>HYPERLINK("https://bbrfoundation.org/","Brain &amp; Behavior Research Foundation")</f>
        <v>Brain &amp; Behavior Research Foundation</v>
      </c>
      <c r="C189" s="5" t="s">
        <v>15</v>
      </c>
      <c r="D189" s="5" t="s">
        <v>18</v>
      </c>
      <c r="E189" s="5" t="s">
        <v>18</v>
      </c>
      <c r="F189" s="3" t="s">
        <v>692</v>
      </c>
      <c r="G189" s="15">
        <v>8</v>
      </c>
      <c r="H189" s="5" t="s">
        <v>4925</v>
      </c>
      <c r="I189" s="5"/>
    </row>
    <row r="190" spans="1:9" ht="15.9" customHeight="1">
      <c r="A190" s="4">
        <v>186</v>
      </c>
      <c r="B190" s="3" t="str">
        <f>HYPERLINK("https://nationalepinet.org/","Early Psychosis Intervention Network")</f>
        <v>Early Psychosis Intervention Network</v>
      </c>
      <c r="C190" s="5" t="s">
        <v>15</v>
      </c>
      <c r="D190" s="5" t="s">
        <v>18</v>
      </c>
      <c r="E190" s="5" t="s">
        <v>18</v>
      </c>
      <c r="F190" s="3" t="s">
        <v>693</v>
      </c>
      <c r="G190" s="15">
        <v>3</v>
      </c>
      <c r="H190" s="5" t="s">
        <v>4325</v>
      </c>
      <c r="I190" s="5"/>
    </row>
    <row r="191" spans="1:9" ht="15.9" customHeight="1">
      <c r="A191" s="4">
        <v>187</v>
      </c>
      <c r="B191" s="3" t="str">
        <f>HYPERLINK("https://www.alzinfo.org/","Fisher Center for Alzheimer's Research Foundation")</f>
        <v>Fisher Center for Alzheimer's Research Foundation</v>
      </c>
      <c r="C191" s="5" t="s">
        <v>15</v>
      </c>
      <c r="D191" s="5" t="s">
        <v>18</v>
      </c>
      <c r="E191" s="5" t="s">
        <v>18</v>
      </c>
      <c r="F191" s="3" t="s">
        <v>4444</v>
      </c>
      <c r="G191" s="15">
        <v>6</v>
      </c>
      <c r="H191" s="5" t="s">
        <v>4335</v>
      </c>
      <c r="I191" s="5"/>
    </row>
    <row r="192" spans="1:9" ht="15.9" customHeight="1">
      <c r="A192" s="4">
        <v>188</v>
      </c>
      <c r="B192" s="3" t="str">
        <f>HYPERLINK("https://www.fndsociety.org/","Functional Neurological Disorder Society")</f>
        <v>Functional Neurological Disorder Society</v>
      </c>
      <c r="C192" s="5" t="s">
        <v>15</v>
      </c>
      <c r="D192" s="5" t="s">
        <v>18</v>
      </c>
      <c r="E192" s="5" t="s">
        <v>18</v>
      </c>
      <c r="F192" s="3" t="s">
        <v>552</v>
      </c>
      <c r="G192" s="15">
        <v>8</v>
      </c>
      <c r="H192" s="5" t="s">
        <v>4925</v>
      </c>
      <c r="I192" s="5"/>
    </row>
    <row r="193" spans="1:9" ht="15.9" customHeight="1">
      <c r="A193" s="4">
        <v>189</v>
      </c>
      <c r="B193" s="3" t="str">
        <f>HYPERLINK("https://www.gapna.org/","Gerontological Advanced Practice Nurses Association")</f>
        <v>Gerontological Advanced Practice Nurses Association</v>
      </c>
      <c r="C193" s="5" t="s">
        <v>15</v>
      </c>
      <c r="D193" s="5" t="s">
        <v>18</v>
      </c>
      <c r="E193" s="5" t="s">
        <v>18</v>
      </c>
      <c r="F193" s="3" t="s">
        <v>4443</v>
      </c>
      <c r="G193" s="15">
        <v>9</v>
      </c>
      <c r="H193" s="5" t="s">
        <v>4925</v>
      </c>
      <c r="I193" s="5"/>
    </row>
    <row r="194" spans="1:9" ht="15.9" customHeight="1">
      <c r="A194" s="4">
        <v>190</v>
      </c>
      <c r="B194" s="3" t="str">
        <f>HYPERLINK("https://www.geron.org/","Gerontological Society of America")</f>
        <v>Gerontological Society of America</v>
      </c>
      <c r="C194" s="5" t="s">
        <v>15</v>
      </c>
      <c r="D194" s="5" t="s">
        <v>18</v>
      </c>
      <c r="E194" s="5" t="s">
        <v>18</v>
      </c>
      <c r="F194" s="3" t="s">
        <v>4442</v>
      </c>
      <c r="G194" s="15">
        <v>9</v>
      </c>
      <c r="H194" s="5" t="s">
        <v>4925</v>
      </c>
      <c r="I194" s="5"/>
    </row>
    <row r="195" spans="1:9" ht="15.9" customHeight="1">
      <c r="A195" s="4">
        <v>191</v>
      </c>
      <c r="B195" s="3" t="str">
        <f>HYPERLINK("https://isps-us.org/","International Society for Psychological and Social Approaches to Psychosis United States Chapter (ISPS US)")</f>
        <v>International Society for Psychological and Social Approaches to Psychosis United States Chapter (ISPS US)</v>
      </c>
      <c r="C195" s="5" t="s">
        <v>15</v>
      </c>
      <c r="D195" s="5" t="s">
        <v>18</v>
      </c>
      <c r="E195" s="5" t="s">
        <v>18</v>
      </c>
      <c r="F195" s="3" t="s">
        <v>631</v>
      </c>
      <c r="G195" s="15">
        <v>3</v>
      </c>
      <c r="H195" s="5" t="s">
        <v>4325</v>
      </c>
      <c r="I195" s="5"/>
    </row>
    <row r="196" spans="1:9" ht="15.9" customHeight="1">
      <c r="A196" s="4">
        <v>192</v>
      </c>
      <c r="B196" s="3" t="str">
        <f>HYPERLINK("https://mhanational.org/","Mental Health America")</f>
        <v>Mental Health America</v>
      </c>
      <c r="C196" s="5" t="s">
        <v>15</v>
      </c>
      <c r="D196" s="5" t="s">
        <v>18</v>
      </c>
      <c r="E196" s="5" t="s">
        <v>18</v>
      </c>
      <c r="F196" s="3" t="s">
        <v>638</v>
      </c>
      <c r="G196" s="15">
        <v>4</v>
      </c>
      <c r="H196" s="5" t="s">
        <v>4925</v>
      </c>
      <c r="I196" s="5"/>
    </row>
    <row r="197" spans="1:9" ht="15.9" customHeight="1">
      <c r="A197" s="4">
        <v>193</v>
      </c>
      <c r="B197" s="3" t="str">
        <f>HYPERLINK("https://www.nanonline.org/nan","National Academy of Neuropsychology")</f>
        <v>National Academy of Neuropsychology</v>
      </c>
      <c r="C197" s="5" t="s">
        <v>15</v>
      </c>
      <c r="D197" s="5" t="s">
        <v>18</v>
      </c>
      <c r="E197" s="5" t="s">
        <v>18</v>
      </c>
      <c r="F197" s="3" t="s">
        <v>599</v>
      </c>
      <c r="G197" s="15">
        <v>5</v>
      </c>
      <c r="H197" s="5" t="s">
        <v>4925</v>
      </c>
      <c r="I197" s="5"/>
    </row>
    <row r="198" spans="1:9" ht="15.9" customHeight="1">
      <c r="A198" s="4">
        <v>194</v>
      </c>
      <c r="B198" s="3" t="str">
        <f>HYPERLINK("https://www.psychonomic.org/","Psychonomic Society")</f>
        <v>Psychonomic Society</v>
      </c>
      <c r="C198" s="5" t="s">
        <v>15</v>
      </c>
      <c r="D198" s="5" t="s">
        <v>18</v>
      </c>
      <c r="E198" s="5" t="s">
        <v>18</v>
      </c>
      <c r="F198" s="3" t="s">
        <v>553</v>
      </c>
      <c r="G198" s="15">
        <v>5</v>
      </c>
      <c r="H198" s="5" t="s">
        <v>4925</v>
      </c>
      <c r="I198" s="5"/>
    </row>
    <row r="199" spans="1:9" ht="15.9" customHeight="1">
      <c r="A199" s="4">
        <v>195</v>
      </c>
      <c r="B199" s="3" t="str">
        <f>HYPERLINK("https://adolescenthealth.org/","Society for Adolescent Health and Medicine")</f>
        <v>Society for Adolescent Health and Medicine</v>
      </c>
      <c r="C199" s="5" t="s">
        <v>15</v>
      </c>
      <c r="D199" s="5" t="s">
        <v>18</v>
      </c>
      <c r="E199" s="5" t="s">
        <v>18</v>
      </c>
      <c r="F199" s="3" t="s">
        <v>4994</v>
      </c>
      <c r="G199" s="15">
        <v>1</v>
      </c>
      <c r="H199" s="5" t="s">
        <v>371</v>
      </c>
      <c r="I199" s="5"/>
    </row>
    <row r="200" spans="1:9" ht="15.9" customHeight="1">
      <c r="A200" s="4">
        <v>196</v>
      </c>
      <c r="B200" s="3" t="str">
        <f>HYPERLINK("https://soblackneuro.org/","Society for Black Neuropsychology")</f>
        <v>Society for Black Neuropsychology</v>
      </c>
      <c r="C200" s="5" t="s">
        <v>15</v>
      </c>
      <c r="D200" s="5" t="s">
        <v>18</v>
      </c>
      <c r="E200" s="5" t="s">
        <v>18</v>
      </c>
      <c r="F200" s="3" t="s">
        <v>602</v>
      </c>
      <c r="G200" s="15">
        <v>5</v>
      </c>
      <c r="H200" s="5" t="s">
        <v>4925</v>
      </c>
      <c r="I200" s="5"/>
    </row>
    <row r="201" spans="1:9" ht="15.9" customHeight="1">
      <c r="A201" s="4">
        <v>197</v>
      </c>
      <c r="B201" s="3" t="str">
        <f>HYPERLINK("https://scn40.org/","Society for Clinical Neuropsychology")</f>
        <v>Society for Clinical Neuropsychology</v>
      </c>
      <c r="C201" s="5" t="s">
        <v>15</v>
      </c>
      <c r="D201" s="5" t="s">
        <v>18</v>
      </c>
      <c r="E201" s="5" t="s">
        <v>18</v>
      </c>
      <c r="F201" s="3" t="s">
        <v>592</v>
      </c>
      <c r="G201" s="15">
        <v>5</v>
      </c>
      <c r="H201" s="5" t="s">
        <v>4925</v>
      </c>
      <c r="I201" s="5"/>
    </row>
    <row r="202" spans="1:9" ht="15.9" customHeight="1">
      <c r="A202" s="4">
        <v>198</v>
      </c>
      <c r="B202" s="3" t="str">
        <f>HYPERLINK("https://apadiv1.org/","Society for General Psychology (Division 1)")</f>
        <v>Society for General Psychology (Division 1)</v>
      </c>
      <c r="C202" s="5" t="s">
        <v>15</v>
      </c>
      <c r="D202" s="5" t="s">
        <v>18</v>
      </c>
      <c r="E202" s="5" t="s">
        <v>18</v>
      </c>
      <c r="F202" s="3" t="s">
        <v>590</v>
      </c>
      <c r="G202" s="15">
        <v>5</v>
      </c>
      <c r="H202" s="5" t="s">
        <v>4925</v>
      </c>
      <c r="I202" s="5"/>
    </row>
    <row r="203" spans="1:9" ht="15.9" customHeight="1">
      <c r="A203" s="4">
        <v>199</v>
      </c>
      <c r="B203" s="3" t="str">
        <f>HYPERLINK("https://spsp.org/","Society for Personality and Social Psychology")</f>
        <v>Society for Personality and Social Psychology</v>
      </c>
      <c r="C203" s="5" t="s">
        <v>15</v>
      </c>
      <c r="D203" s="5" t="s">
        <v>18</v>
      </c>
      <c r="E203" s="5" t="s">
        <v>18</v>
      </c>
      <c r="F203" s="3" t="s">
        <v>576</v>
      </c>
      <c r="G203" s="15">
        <v>5</v>
      </c>
      <c r="H203" s="5" t="s">
        <v>4925</v>
      </c>
      <c r="I203" s="5"/>
    </row>
    <row r="204" spans="1:9" ht="15.9" customHeight="1">
      <c r="A204" s="4">
        <v>200</v>
      </c>
      <c r="B204" s="3" t="str">
        <f>HYPERLINK("https://www.psychotherapyresearch.org/","Society for Psychotherapy Research")</f>
        <v>Society for Psychotherapy Research</v>
      </c>
      <c r="C204" s="5" t="s">
        <v>15</v>
      </c>
      <c r="D204" s="5" t="s">
        <v>18</v>
      </c>
      <c r="E204" s="5" t="s">
        <v>18</v>
      </c>
      <c r="F204" s="3" t="s">
        <v>559</v>
      </c>
      <c r="G204" s="15">
        <v>5</v>
      </c>
      <c r="H204" s="5" t="s">
        <v>4925</v>
      </c>
      <c r="I204" s="5"/>
    </row>
    <row r="205" spans="1:9" ht="15.9" customHeight="1">
      <c r="A205" s="4">
        <v>201</v>
      </c>
      <c r="B205" s="3" t="str">
        <f>HYPERLINK("https://societyforpsychotherapy.org/","Society for the Advancement of Psychotherapy")</f>
        <v>Society for the Advancement of Psychotherapy</v>
      </c>
      <c r="C205" s="5" t="s">
        <v>15</v>
      </c>
      <c r="D205" s="5" t="s">
        <v>18</v>
      </c>
      <c r="E205" s="5" t="s">
        <v>18</v>
      </c>
      <c r="F205" s="3" t="s">
        <v>571</v>
      </c>
      <c r="G205" s="15">
        <v>5</v>
      </c>
      <c r="H205" s="5" t="s">
        <v>4925</v>
      </c>
      <c r="I205" s="5"/>
    </row>
    <row r="206" spans="1:9" ht="15.9" customHeight="1">
      <c r="A206" s="4">
        <v>202</v>
      </c>
      <c r="B206" s="3" t="str">
        <f>HYPERLINK("https://sobp.org/","Society of Biological Psychiatry")</f>
        <v>Society of Biological Psychiatry</v>
      </c>
      <c r="C206" s="5" t="s">
        <v>15</v>
      </c>
      <c r="D206" s="5" t="s">
        <v>18</v>
      </c>
      <c r="E206" s="5" t="s">
        <v>18</v>
      </c>
      <c r="F206" s="3" t="s">
        <v>4458</v>
      </c>
      <c r="G206" s="15">
        <v>4</v>
      </c>
      <c r="H206" s="5" t="s">
        <v>4925</v>
      </c>
      <c r="I206" s="5"/>
    </row>
    <row r="207" spans="1:9" ht="15.9" customHeight="1">
      <c r="A207" s="4">
        <v>203</v>
      </c>
      <c r="B207" s="3" t="str">
        <f>HYPERLINK("https://sccap53.org/","Society of Clinical Child and Adolescent Psychology")</f>
        <v>Society of Clinical Child and Adolescent Psychology</v>
      </c>
      <c r="C207" s="5" t="s">
        <v>15</v>
      </c>
      <c r="D207" s="5" t="s">
        <v>18</v>
      </c>
      <c r="E207" s="5" t="s">
        <v>18</v>
      </c>
      <c r="F207" s="3" t="s">
        <v>589</v>
      </c>
      <c r="G207" s="15">
        <v>5</v>
      </c>
      <c r="H207" s="5" t="s">
        <v>4925</v>
      </c>
      <c r="I207" s="5"/>
    </row>
    <row r="208" spans="1:9" ht="15.9" customHeight="1">
      <c r="A208" s="4">
        <v>204</v>
      </c>
      <c r="B208" s="3" t="str">
        <f>HYPERLINK("https://div12.org/","Society of Clinical Psychology")</f>
        <v>Society of Clinical Psychology</v>
      </c>
      <c r="C208" s="5" t="s">
        <v>15</v>
      </c>
      <c r="D208" s="5" t="s">
        <v>18</v>
      </c>
      <c r="E208" s="5" t="s">
        <v>18</v>
      </c>
      <c r="F208" s="3" t="s">
        <v>575</v>
      </c>
      <c r="G208" s="15">
        <v>5</v>
      </c>
      <c r="H208" s="5" t="s">
        <v>4925</v>
      </c>
      <c r="I208" s="5"/>
    </row>
    <row r="209" spans="1:9" ht="15.9" customHeight="1">
      <c r="A209" s="4">
        <v>205</v>
      </c>
      <c r="B209" s="3" t="str">
        <f>HYPERLINK("https://www.societyofconsultingpsychology.org/","Society of Consulting Psychology")</f>
        <v>Society of Consulting Psychology</v>
      </c>
      <c r="C209" s="5" t="s">
        <v>15</v>
      </c>
      <c r="D209" s="5" t="s">
        <v>18</v>
      </c>
      <c r="E209" s="5" t="s">
        <v>18</v>
      </c>
      <c r="F209" s="3" t="s">
        <v>594</v>
      </c>
      <c r="G209" s="15">
        <v>5</v>
      </c>
      <c r="H209" s="5" t="s">
        <v>4925</v>
      </c>
      <c r="I209" s="5"/>
    </row>
    <row r="210" spans="1:9" ht="15.9" customHeight="1">
      <c r="A210" s="4">
        <v>206</v>
      </c>
      <c r="B210" s="3" t="str">
        <f>HYPERLINK("https://www.psychleaders.org/","Society of Psychologists in Leadership")</f>
        <v>Society of Psychologists in Leadership</v>
      </c>
      <c r="C210" s="5" t="s">
        <v>15</v>
      </c>
      <c r="D210" s="5" t="s">
        <v>18</v>
      </c>
      <c r="E210" s="5" t="s">
        <v>18</v>
      </c>
      <c r="F210" s="3" t="s">
        <v>591</v>
      </c>
      <c r="G210" s="15">
        <v>5</v>
      </c>
      <c r="H210" s="5" t="s">
        <v>4925</v>
      </c>
      <c r="I210" s="5"/>
    </row>
    <row r="211" spans="1:9" ht="15.9" customHeight="1">
      <c r="A211" s="4">
        <v>207</v>
      </c>
      <c r="B211" s="3" t="str">
        <f>HYPERLINK("https://www.wfmh.global/","World Federation for Mental Health")</f>
        <v>World Federation for Mental Health</v>
      </c>
      <c r="C211" s="5" t="s">
        <v>15</v>
      </c>
      <c r="D211" s="5" t="s">
        <v>18</v>
      </c>
      <c r="E211" s="5" t="s">
        <v>18</v>
      </c>
      <c r="F211" s="3" t="s">
        <v>640</v>
      </c>
      <c r="G211" s="15">
        <v>4</v>
      </c>
      <c r="H211" s="5" t="s">
        <v>4925</v>
      </c>
      <c r="I211" s="5"/>
    </row>
  </sheetData>
  <autoFilter ref="A4:I4" xr:uid="{00000000-0009-0000-0000-000005000000}"/>
  <sortState xmlns:xlrd2="http://schemas.microsoft.com/office/spreadsheetml/2017/richdata2" ref="A5:I211">
    <sortCondition ref="C5:C211" customList="International,Regional,National"/>
    <sortCondition ref="D5:D211"/>
    <sortCondition ref="B5:B211"/>
  </sortState>
  <mergeCells count="2">
    <mergeCell ref="A1:I1"/>
    <mergeCell ref="A2:I3"/>
  </mergeCells>
  <hyperlinks>
    <hyperlink ref="F34" r:id="rId1" xr:uid="{00000000-0004-0000-0500-000000000000}"/>
    <hyperlink ref="F179" r:id="rId2" xr:uid="{00000000-0004-0000-0500-000001000000}"/>
    <hyperlink ref="F192" r:id="rId3" xr:uid="{00000000-0004-0000-0500-000002000000}"/>
    <hyperlink ref="F198" r:id="rId4" xr:uid="{00000000-0004-0000-0500-000003000000}"/>
    <hyperlink ref="F180" r:id="rId5" xr:uid="{00000000-0004-0000-0500-000004000000}"/>
    <hyperlink ref="F173" r:id="rId6" xr:uid="{00000000-0004-0000-0500-000005000000}"/>
    <hyperlink ref="F23" r:id="rId7" xr:uid="{00000000-0004-0000-0500-000006000000}"/>
    <hyperlink ref="F62" r:id="rId8" xr:uid="{00000000-0004-0000-0500-000007000000}"/>
    <hyperlink ref="F11" r:id="rId9" xr:uid="{00000000-0004-0000-0500-000008000000}"/>
    <hyperlink ref="F204" r:id="rId10" xr:uid="{00000000-0004-0000-0500-000009000000}"/>
    <hyperlink ref="F40" r:id="rId11" xr:uid="{00000000-0004-0000-0500-00000A000000}"/>
    <hyperlink ref="F47" r:id="rId12" xr:uid="{00000000-0004-0000-0500-00000B000000}"/>
    <hyperlink ref="F48" r:id="rId13" xr:uid="{00000000-0004-0000-0500-00000C000000}"/>
    <hyperlink ref="F54" r:id="rId14" xr:uid="{00000000-0004-0000-0500-00000D000000}"/>
    <hyperlink ref="F38" r:id="rId15" xr:uid="{00000000-0004-0000-0500-00000E000000}"/>
    <hyperlink ref="F58" r:id="rId16" xr:uid="{00000000-0004-0000-0500-00000F000000}"/>
    <hyperlink ref="F13" r:id="rId17" xr:uid="{00000000-0004-0000-0500-000010000000}"/>
    <hyperlink ref="F9" r:id="rId18" xr:uid="{00000000-0004-0000-0500-000011000000}"/>
    <hyperlink ref="F185" r:id="rId19" xr:uid="{00000000-0004-0000-0500-000012000000}"/>
    <hyperlink ref="F205" r:id="rId20" xr:uid="{00000000-0004-0000-0500-000013000000}"/>
    <hyperlink ref="F182" r:id="rId21" xr:uid="{00000000-0004-0000-0500-000014000000}"/>
    <hyperlink ref="F176" r:id="rId22" xr:uid="{00000000-0004-0000-0500-000015000000}"/>
    <hyperlink ref="F208" r:id="rId23" xr:uid="{00000000-0004-0000-0500-000016000000}"/>
    <hyperlink ref="F203" r:id="rId24" xr:uid="{00000000-0004-0000-0500-000017000000}"/>
    <hyperlink ref="F164" r:id="rId25" xr:uid="{00000000-0004-0000-0500-000018000000}"/>
    <hyperlink ref="F165" r:id="rId26" xr:uid="{00000000-0004-0000-0500-000019000000}"/>
    <hyperlink ref="F168" r:id="rId27" xr:uid="{00000000-0004-0000-0500-00001A000000}"/>
    <hyperlink ref="F181" r:id="rId28" xr:uid="{00000000-0004-0000-0500-00001B000000}"/>
    <hyperlink ref="F186" r:id="rId29" xr:uid="{00000000-0004-0000-0500-00001C000000}"/>
    <hyperlink ref="F187" r:id="rId30" xr:uid="{00000000-0004-0000-0500-00001D000000}"/>
    <hyperlink ref="F49" r:id="rId31" xr:uid="{00000000-0004-0000-0500-00001E000000}"/>
    <hyperlink ref="F55" r:id="rId32" xr:uid="{00000000-0004-0000-0500-00001F000000}"/>
    <hyperlink ref="F21" r:id="rId33" xr:uid="{00000000-0004-0000-0500-000020000000}"/>
    <hyperlink ref="F26" r:id="rId34" xr:uid="{00000000-0004-0000-0500-000021000000}"/>
    <hyperlink ref="F207" r:id="rId35" xr:uid="{00000000-0004-0000-0500-000022000000}"/>
    <hyperlink ref="F202" r:id="rId36" xr:uid="{00000000-0004-0000-0500-000023000000}"/>
    <hyperlink ref="F210" r:id="rId37" xr:uid="{00000000-0004-0000-0500-000024000000}"/>
    <hyperlink ref="F201" r:id="rId38" xr:uid="{00000000-0004-0000-0500-000025000000}"/>
    <hyperlink ref="F209" r:id="rId39" xr:uid="{00000000-0004-0000-0500-000026000000}"/>
    <hyperlink ref="F172" r:id="rId40" xr:uid="{00000000-0004-0000-0500-000027000000}"/>
    <hyperlink ref="F15" r:id="rId41" xr:uid="{00000000-0004-0000-0500-000028000000}"/>
    <hyperlink ref="F166" r:id="rId42" xr:uid="{00000000-0004-0000-0500-000029000000}"/>
    <hyperlink ref="F158" r:id="rId43" xr:uid="{00000000-0004-0000-0500-00002A000000}"/>
    <hyperlink ref="F197" r:id="rId44" xr:uid="{00000000-0004-0000-0500-00002B000000}"/>
    <hyperlink ref="F12" r:id="rId45" xr:uid="{00000000-0004-0000-0500-00002C000000}"/>
    <hyperlink ref="F200" r:id="rId46" xr:uid="{00000000-0004-0000-0500-00002D000000}"/>
    <hyperlink ref="F170" r:id="rId47" xr:uid="{00000000-0004-0000-0500-00002E000000}"/>
    <hyperlink ref="F171" r:id="rId48" xr:uid="{00000000-0004-0000-0500-00002F000000}"/>
    <hyperlink ref="F65" r:id="rId49" xr:uid="{00000000-0004-0000-0500-000030000000}"/>
    <hyperlink ref="F104" r:id="rId50" xr:uid="{00000000-0004-0000-0500-000031000000}"/>
    <hyperlink ref="F24" r:id="rId51" xr:uid="{00000000-0004-0000-0500-000032000000}"/>
    <hyperlink ref="F86" r:id="rId52" xr:uid="{00000000-0004-0000-0500-000033000000}"/>
    <hyperlink ref="F93" r:id="rId53" xr:uid="{00000000-0004-0000-0500-000034000000}"/>
    <hyperlink ref="F108" r:id="rId54" xr:uid="{00000000-0004-0000-0500-000035000000}"/>
    <hyperlink ref="F80" r:id="rId55" xr:uid="{00000000-0004-0000-0500-000036000000}"/>
    <hyperlink ref="F184" r:id="rId56" xr:uid="{00000000-0004-0000-0500-000037000000}"/>
    <hyperlink ref="F57" r:id="rId57" xr:uid="{00000000-0004-0000-0500-000038000000}"/>
    <hyperlink ref="F106" r:id="rId58" xr:uid="{00000000-0004-0000-0500-000039000000}"/>
    <hyperlink ref="F102" r:id="rId59" xr:uid="{00000000-0004-0000-0500-00003A000000}"/>
    <hyperlink ref="F129" r:id="rId60" xr:uid="{00000000-0004-0000-0500-00003B000000}"/>
    <hyperlink ref="F125" r:id="rId61" xr:uid="{00000000-0004-0000-0500-00003C000000}"/>
    <hyperlink ref="F128" r:id="rId62" xr:uid="{00000000-0004-0000-0500-00003D000000}"/>
    <hyperlink ref="F124" r:id="rId63" xr:uid="{00000000-0004-0000-0500-00003E000000}"/>
    <hyperlink ref="F118" r:id="rId64" xr:uid="{00000000-0004-0000-0500-00003F000000}"/>
    <hyperlink ref="F127" r:id="rId65" xr:uid="{00000000-0004-0000-0500-000040000000}"/>
    <hyperlink ref="F120" r:id="rId66" xr:uid="{00000000-0004-0000-0500-000041000000}"/>
    <hyperlink ref="F44" r:id="rId67" xr:uid="{00000000-0004-0000-0500-000042000000}"/>
    <hyperlink ref="F121" r:id="rId68" xr:uid="{00000000-0004-0000-0500-000043000000}"/>
    <hyperlink ref="F113" r:id="rId69" xr:uid="{00000000-0004-0000-0500-000044000000}"/>
    <hyperlink ref="F112" r:id="rId70" xr:uid="{00000000-0004-0000-0500-000045000000}"/>
    <hyperlink ref="F126" r:id="rId71" xr:uid="{00000000-0004-0000-0500-000046000000}"/>
    <hyperlink ref="F130" r:id="rId72" xr:uid="{00000000-0004-0000-0500-000047000000}"/>
    <hyperlink ref="F154" r:id="rId73" xr:uid="{00000000-0004-0000-0500-000048000000}"/>
    <hyperlink ref="F30" r:id="rId74" xr:uid="{00000000-0004-0000-0500-000049000000}"/>
    <hyperlink ref="F195" r:id="rId75" xr:uid="{00000000-0004-0000-0500-00004A000000}"/>
    <hyperlink ref="F100" r:id="rId76" xr:uid="{00000000-0004-0000-0500-00004B000000}"/>
    <hyperlink ref="F149" r:id="rId77" xr:uid="{00000000-0004-0000-0500-00004C000000}"/>
    <hyperlink ref="F145" r:id="rId78" xr:uid="{00000000-0004-0000-0500-00004D000000}"/>
    <hyperlink ref="F159" r:id="rId79" xr:uid="{00000000-0004-0000-0500-00004E000000}"/>
    <hyperlink ref="F177" r:id="rId80" xr:uid="{00000000-0004-0000-0500-00004F000000}"/>
    <hyperlink ref="F32" r:id="rId81" xr:uid="{00000000-0004-0000-0500-000050000000}"/>
    <hyperlink ref="F196" r:id="rId82" xr:uid="{00000000-0004-0000-0500-000051000000}"/>
    <hyperlink ref="F61" r:id="rId83" xr:uid="{00000000-0004-0000-0500-000052000000}"/>
    <hyperlink ref="F211" r:id="rId84" xr:uid="{00000000-0004-0000-0500-000053000000}"/>
    <hyperlink ref="F14" r:id="rId85" xr:uid="{00000000-0004-0000-0500-000054000000}"/>
    <hyperlink ref="F25" r:id="rId86" xr:uid="{00000000-0004-0000-0500-000055000000}"/>
    <hyperlink ref="F67" r:id="rId87" xr:uid="{00000000-0004-0000-0500-000056000000}"/>
    <hyperlink ref="F153" r:id="rId88" xr:uid="{00000000-0004-0000-0500-000057000000}"/>
    <hyperlink ref="F37" r:id="rId89" xr:uid="{00000000-0004-0000-0500-000058000000}"/>
    <hyperlink ref="F50" r:id="rId90" xr:uid="{00000000-0004-0000-0500-000059000000}"/>
    <hyperlink ref="F144" r:id="rId91" xr:uid="{00000000-0004-0000-0500-00005A000000}"/>
    <hyperlink ref="F8" r:id="rId92" xr:uid="{00000000-0004-0000-0500-00005B000000}"/>
    <hyperlink ref="F10" r:id="rId93" xr:uid="{00000000-0004-0000-0500-00005C000000}"/>
    <hyperlink ref="F63" r:id="rId94" xr:uid="{00000000-0004-0000-0500-00005D000000}"/>
    <hyperlink ref="F29" r:id="rId95" xr:uid="{00000000-0004-0000-0500-00005E000000}"/>
    <hyperlink ref="F41" r:id="rId96" xr:uid="{00000000-0004-0000-0500-00005F000000}"/>
    <hyperlink ref="F20" r:id="rId97" xr:uid="{00000000-0004-0000-0500-000060000000}"/>
    <hyperlink ref="F45" r:id="rId98" xr:uid="{00000000-0004-0000-0500-000061000000}"/>
    <hyperlink ref="F51" r:id="rId99" xr:uid="{00000000-0004-0000-0500-000062000000}"/>
    <hyperlink ref="F31" r:id="rId100" xr:uid="{00000000-0004-0000-0500-000063000000}"/>
    <hyperlink ref="F17" r:id="rId101" xr:uid="{00000000-0004-0000-0500-000064000000}"/>
    <hyperlink ref="F36" r:id="rId102" xr:uid="{00000000-0004-0000-0500-000065000000}"/>
    <hyperlink ref="F79" r:id="rId103" xr:uid="{00000000-0004-0000-0500-000066000000}"/>
    <hyperlink ref="F90" r:id="rId104" xr:uid="{00000000-0004-0000-0500-000067000000}"/>
    <hyperlink ref="F183" r:id="rId105" xr:uid="{00000000-0004-0000-0500-000068000000}"/>
    <hyperlink ref="F146" r:id="rId106" xr:uid="{00000000-0004-0000-0500-000069000000}"/>
    <hyperlink ref="F155" r:id="rId107" xr:uid="{00000000-0004-0000-0500-00006A000000}"/>
    <hyperlink ref="F43" r:id="rId108" xr:uid="{00000000-0004-0000-0500-00006B000000}"/>
    <hyperlink ref="F151" r:id="rId109" xr:uid="{00000000-0004-0000-0500-00006C000000}"/>
    <hyperlink ref="F150" r:id="rId110" xr:uid="{00000000-0004-0000-0500-00006D000000}"/>
    <hyperlink ref="F178" r:id="rId111" xr:uid="{00000000-0004-0000-0500-00006E000000}"/>
    <hyperlink ref="F76" r:id="rId112" xr:uid="{00000000-0004-0000-0500-00006F000000}"/>
    <hyperlink ref="F81" r:id="rId113" xr:uid="{00000000-0004-0000-0500-000070000000}"/>
    <hyperlink ref="F69" r:id="rId114" xr:uid="{00000000-0004-0000-0500-000071000000}"/>
    <hyperlink ref="F82" r:id="rId115" xr:uid="{00000000-0004-0000-0500-000072000000}"/>
    <hyperlink ref="F70" r:id="rId116" xr:uid="{00000000-0004-0000-0500-000073000000}"/>
    <hyperlink ref="F77" r:id="rId117" xr:uid="{00000000-0004-0000-0500-000074000000}"/>
    <hyperlink ref="F78" r:id="rId118" xr:uid="{00000000-0004-0000-0500-000075000000}"/>
    <hyperlink ref="F18" r:id="rId119" xr:uid="{00000000-0004-0000-0500-000076000000}"/>
    <hyperlink ref="F133" r:id="rId120" xr:uid="{00000000-0004-0000-0500-000077000000}"/>
    <hyperlink ref="F142" r:id="rId121" xr:uid="{00000000-0004-0000-0500-000078000000}"/>
    <hyperlink ref="F134" r:id="rId122" xr:uid="{00000000-0004-0000-0500-000079000000}"/>
    <hyperlink ref="F137" r:id="rId123" xr:uid="{00000000-0004-0000-0500-00007A000000}"/>
    <hyperlink ref="F140" r:id="rId124" xr:uid="{00000000-0004-0000-0500-00007B000000}"/>
    <hyperlink ref="F132" r:id="rId125" xr:uid="{00000000-0004-0000-0500-00007C000000}"/>
    <hyperlink ref="F131" r:id="rId126" xr:uid="{00000000-0004-0000-0500-00007D000000}"/>
    <hyperlink ref="F141" r:id="rId127" xr:uid="{00000000-0004-0000-0500-00007E000000}"/>
    <hyperlink ref="F85" r:id="rId128" xr:uid="{00000000-0004-0000-0500-00007F000000}"/>
    <hyperlink ref="F64" r:id="rId129" xr:uid="{00000000-0004-0000-0500-000080000000}"/>
    <hyperlink ref="F99" r:id="rId130" xr:uid="{00000000-0004-0000-0500-000081000000}"/>
    <hyperlink ref="F91" r:id="rId131" xr:uid="{00000000-0004-0000-0500-000082000000}"/>
    <hyperlink ref="F98" r:id="rId132" xr:uid="{00000000-0004-0000-0500-000083000000}"/>
    <hyperlink ref="F135" r:id="rId133" xr:uid="{00000000-0004-0000-0500-000084000000}"/>
    <hyperlink ref="F68" r:id="rId134" xr:uid="{00000000-0004-0000-0500-000085000000}"/>
    <hyperlink ref="F122" r:id="rId135" xr:uid="{00000000-0004-0000-0500-000086000000}"/>
    <hyperlink ref="F189" r:id="rId136" xr:uid="{00000000-0004-0000-0500-000087000000}"/>
    <hyperlink ref="F190" r:id="rId137" xr:uid="{00000000-0004-0000-0500-000088000000}"/>
    <hyperlink ref="F88" r:id="rId138" xr:uid="{00000000-0004-0000-0500-000089000000}"/>
    <hyperlink ref="F111" r:id="rId139" xr:uid="{00000000-0004-0000-0500-00008A000000}"/>
    <hyperlink ref="F117" r:id="rId140" xr:uid="{00000000-0004-0000-0500-00008B000000}"/>
    <hyperlink ref="F174" r:id="rId141" xr:uid="{00000000-0004-0000-0500-00008C000000}"/>
    <hyperlink ref="F53" r:id="rId142" xr:uid="{00000000-0004-0000-0500-00008D000000}"/>
    <hyperlink ref="F19" r:id="rId143" xr:uid="{00000000-0004-0000-0500-00008E000000}"/>
    <hyperlink ref="F123" r:id="rId144" xr:uid="{00000000-0004-0000-0500-00008F000000}"/>
    <hyperlink ref="F35" r:id="rId145" xr:uid="{00000000-0004-0000-0500-000090000000}"/>
    <hyperlink ref="F157" r:id="rId146" xr:uid="{00000000-0004-0000-0500-000091000000}"/>
    <hyperlink ref="F136" r:id="rId147" xr:uid="{00000000-0004-0000-0500-000092000000}"/>
    <hyperlink ref="F119" r:id="rId148" xr:uid="{00000000-0004-0000-0500-000093000000}"/>
    <hyperlink ref="F116" r:id="rId149" xr:uid="{00000000-0004-0000-0500-000094000000}"/>
    <hyperlink ref="F114" r:id="rId150" xr:uid="{00000000-0004-0000-0500-000095000000}"/>
    <hyperlink ref="F115" r:id="rId151" xr:uid="{00000000-0004-0000-0500-000096000000}"/>
    <hyperlink ref="F156" r:id="rId152" xr:uid="{00000000-0004-0000-0500-000097000000}"/>
    <hyperlink ref="F167" r:id="rId153" xr:uid="{00000000-0004-0000-0500-000098000000}"/>
    <hyperlink ref="F39" r:id="rId154" xr:uid="{00000000-0004-0000-0500-000099000000}"/>
    <hyperlink ref="F52" r:id="rId155" xr:uid="{00000000-0004-0000-0500-00009A000000}"/>
    <hyperlink ref="F42" r:id="rId156" xr:uid="{00000000-0004-0000-0500-00009B000000}"/>
    <hyperlink ref="F147" r:id="rId157" xr:uid="{00000000-0004-0000-0500-00009C000000}"/>
    <hyperlink ref="F59" r:id="rId158" xr:uid="{00000000-0004-0000-0500-00009D000000}"/>
    <hyperlink ref="F97" r:id="rId159" xr:uid="{00000000-0004-0000-0500-00009E000000}"/>
    <hyperlink ref="F28" r:id="rId160" xr:uid="{00000000-0004-0000-0500-00009F000000}"/>
    <hyperlink ref="F7" r:id="rId161" xr:uid="{00000000-0004-0000-0500-0000A0000000}"/>
    <hyperlink ref="F27" r:id="rId162" xr:uid="{00000000-0004-0000-0500-0000A1000000}"/>
    <hyperlink ref="F66" r:id="rId163" xr:uid="{00000000-0004-0000-0500-0000A2000000}"/>
    <hyperlink ref="F16" r:id="rId164" xr:uid="{00000000-0004-0000-0500-0000A3000000}"/>
    <hyperlink ref="F74" r:id="rId165" xr:uid="{00000000-0004-0000-0500-0000A4000000}"/>
    <hyperlink ref="F75" r:id="rId166" xr:uid="{00000000-0004-0000-0500-0000A5000000}"/>
    <hyperlink ref="F71" r:id="rId167" xr:uid="{00000000-0004-0000-0500-0000A6000000}"/>
    <hyperlink ref="F56" r:id="rId168" xr:uid="{00000000-0004-0000-0500-0000A7000000}"/>
    <hyperlink ref="F83" r:id="rId169" xr:uid="{00000000-0004-0000-0500-0000A8000000}"/>
    <hyperlink ref="F87" r:id="rId170" xr:uid="{00000000-0004-0000-0500-0000A9000000}"/>
    <hyperlink ref="F95" r:id="rId171" xr:uid="{00000000-0004-0000-0500-0000AA000000}"/>
    <hyperlink ref="F94" r:id="rId172" xr:uid="{00000000-0004-0000-0500-0000AB000000}"/>
    <hyperlink ref="F101" r:id="rId173" xr:uid="{00000000-0004-0000-0500-0000AC000000}"/>
    <hyperlink ref="F105" r:id="rId174" xr:uid="{00000000-0004-0000-0500-0000AD000000}"/>
    <hyperlink ref="F110" r:id="rId175" xr:uid="{00000000-0004-0000-0500-0000AE000000}"/>
    <hyperlink ref="F109" r:id="rId176" xr:uid="{00000000-0004-0000-0500-0000AF000000}"/>
    <hyperlink ref="F143" r:id="rId177" xr:uid="{00000000-0004-0000-0500-0000B0000000}"/>
    <hyperlink ref="F139" r:id="rId178" xr:uid="{00000000-0004-0000-0500-0000B1000000}"/>
    <hyperlink ref="F138" r:id="rId179" xr:uid="{00000000-0004-0000-0500-0000B2000000}"/>
    <hyperlink ref="F148" r:id="rId180" xr:uid="{00000000-0004-0000-0500-0000B3000000}"/>
    <hyperlink ref="F152" r:id="rId181" xr:uid="{00000000-0004-0000-0500-0000B4000000}"/>
    <hyperlink ref="F175" r:id="rId182" xr:uid="{00000000-0004-0000-0500-0000B5000000}"/>
    <hyperlink ref="F194" r:id="rId183" xr:uid="{00000000-0004-0000-0500-0000B6000000}"/>
    <hyperlink ref="F193" r:id="rId184" xr:uid="{00000000-0004-0000-0500-0000B7000000}"/>
    <hyperlink ref="F191" r:id="rId185" xr:uid="{00000000-0004-0000-0500-0000B8000000}"/>
    <hyperlink ref="F162" r:id="rId186" xr:uid="{00000000-0004-0000-0500-0000B9000000}"/>
    <hyperlink ref="F160" r:id="rId187" xr:uid="{00000000-0004-0000-0500-0000BA000000}"/>
    <hyperlink ref="F5" r:id="rId188" xr:uid="{00000000-0004-0000-0500-0000BB000000}"/>
    <hyperlink ref="F163" r:id="rId189" xr:uid="{00000000-0004-0000-0500-0000BC000000}"/>
    <hyperlink ref="F89" r:id="rId190" xr:uid="{00000000-0004-0000-0500-0000BD000000}"/>
    <hyperlink ref="F33" r:id="rId191" xr:uid="{00000000-0004-0000-0500-0000BE000000}"/>
    <hyperlink ref="F60" r:id="rId192" xr:uid="{00000000-0004-0000-0500-0000BF000000}"/>
    <hyperlink ref="F46" r:id="rId193" xr:uid="{00000000-0004-0000-0500-0000C0000000}"/>
    <hyperlink ref="F161" r:id="rId194" xr:uid="{00000000-0004-0000-0500-0000C1000000}"/>
    <hyperlink ref="F206" r:id="rId195" xr:uid="{00000000-0004-0000-0500-0000C2000000}"/>
    <hyperlink ref="F84" r:id="rId196" xr:uid="{00000000-0004-0000-0500-0000C3000000}"/>
    <hyperlink ref="F103" r:id="rId197" xr:uid="{00000000-0004-0000-0500-0000C4000000}"/>
    <hyperlink ref="F107" r:id="rId198" xr:uid="{00000000-0004-0000-0500-0000C5000000}"/>
    <hyperlink ref="F96" r:id="rId199" xr:uid="{00000000-0004-0000-0500-0000C6000000}"/>
    <hyperlink ref="F72" r:id="rId200" xr:uid="{00000000-0004-0000-0500-0000C7000000}"/>
    <hyperlink ref="F92" r:id="rId201" xr:uid="{00000000-0004-0000-0500-0000C8000000}"/>
    <hyperlink ref="F73" r:id="rId202" xr:uid="{00000000-0004-0000-0500-0000C9000000}"/>
    <hyperlink ref="F199" r:id="rId203" xr:uid="{00000000-0004-0000-0500-0000CA000000}"/>
  </hyperlinks>
  <pageMargins left="0.7" right="0.7" top="0.75" bottom="0.75" header="0" footer="0"/>
  <pageSetup paperSize="9" orientation="portrait" r:id="rId20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outlinePr summaryBelow="0" summaryRight="0"/>
  </sheetPr>
  <dimension ref="A1:I35"/>
  <sheetViews>
    <sheetView showGridLines="0" workbookViewId="0">
      <pane xSplit="2" ySplit="4" topLeftCell="C5" activePane="bottomRight" state="frozen"/>
      <selection pane="topRight"/>
      <selection pane="bottomLeft"/>
      <selection pane="bottomRight" activeCell="C5" sqref="C5"/>
    </sheetView>
  </sheetViews>
  <sheetFormatPr defaultColWidth="14.109375" defaultRowHeight="15" customHeight="1"/>
  <cols>
    <col min="1" max="1" width="6.109375" customWidth="1"/>
    <col min="2" max="2" width="70.88671875" customWidth="1"/>
    <col min="3" max="4" width="15.88671875" customWidth="1"/>
    <col min="5" max="5" width="23.88671875" customWidth="1"/>
    <col min="6" max="6" width="22.88671875" customWidth="1"/>
    <col min="7" max="8" width="15.5546875" customWidth="1"/>
    <col min="9" max="9" width="32.88671875" style="2" customWidth="1"/>
  </cols>
  <sheetData>
    <row r="1" spans="1:9" ht="25.35" customHeight="1">
      <c r="A1" s="63" t="s">
        <v>0</v>
      </c>
      <c r="B1" s="63"/>
      <c r="C1" s="63"/>
      <c r="D1" s="63"/>
      <c r="E1" s="63"/>
      <c r="F1" s="63"/>
      <c r="G1" s="63"/>
      <c r="H1" s="63"/>
      <c r="I1" s="63"/>
    </row>
    <row r="2" spans="1:9" ht="15" customHeight="1">
      <c r="A2" s="64" t="s">
        <v>1</v>
      </c>
      <c r="B2" s="65"/>
      <c r="C2" s="65"/>
      <c r="D2" s="65"/>
      <c r="E2" s="65"/>
      <c r="F2" s="65"/>
      <c r="G2" s="65"/>
      <c r="H2" s="65"/>
      <c r="I2" s="65"/>
    </row>
    <row r="3" spans="1:9" ht="15" customHeight="1">
      <c r="A3" s="65"/>
      <c r="B3" s="65"/>
      <c r="C3" s="65"/>
      <c r="D3" s="65"/>
      <c r="E3" s="65"/>
      <c r="F3" s="65"/>
      <c r="G3" s="65"/>
      <c r="H3" s="65"/>
      <c r="I3" s="65"/>
    </row>
    <row r="4" spans="1:9" ht="28.5" customHeight="1">
      <c r="A4" s="9" t="s">
        <v>2</v>
      </c>
      <c r="B4" s="12" t="s">
        <v>28</v>
      </c>
      <c r="C4" s="9" t="s">
        <v>12</v>
      </c>
      <c r="D4" s="9" t="s">
        <v>13</v>
      </c>
      <c r="E4" s="12" t="s">
        <v>23</v>
      </c>
      <c r="F4" s="9" t="s">
        <v>5</v>
      </c>
      <c r="G4" s="12" t="s">
        <v>549</v>
      </c>
      <c r="H4" s="9" t="s">
        <v>4463</v>
      </c>
      <c r="I4" s="12" t="s">
        <v>6</v>
      </c>
    </row>
    <row r="5" spans="1:9" ht="15.9" customHeight="1">
      <c r="A5" s="4">
        <v>1</v>
      </c>
      <c r="B5" s="3" t="str">
        <f>HYPERLINK("https://c-path.org/","Critical Path Institute (C-Path)")</f>
        <v>Critical Path Institute (C-Path)</v>
      </c>
      <c r="C5" s="30" t="s">
        <v>14</v>
      </c>
      <c r="D5" s="30" t="s">
        <v>14</v>
      </c>
      <c r="E5" s="30" t="s">
        <v>18</v>
      </c>
      <c r="F5" s="3" t="s">
        <v>29</v>
      </c>
      <c r="G5" s="4" t="s">
        <v>4324</v>
      </c>
      <c r="H5" s="30" t="s">
        <v>4925</v>
      </c>
      <c r="I5" s="30"/>
    </row>
    <row r="6" spans="1:9" ht="15.9" customHeight="1">
      <c r="A6" s="4">
        <v>2</v>
      </c>
      <c r="B6" s="3" t="str">
        <f>HYPERLINK("https://www.rti.org/","RTI International")</f>
        <v>RTI International</v>
      </c>
      <c r="C6" s="30" t="s">
        <v>14</v>
      </c>
      <c r="D6" s="30" t="s">
        <v>14</v>
      </c>
      <c r="E6" s="30" t="s">
        <v>18</v>
      </c>
      <c r="F6" s="3" t="s">
        <v>30</v>
      </c>
      <c r="G6" s="4" t="s">
        <v>4324</v>
      </c>
      <c r="H6" s="30" t="s">
        <v>4925</v>
      </c>
      <c r="I6" s="30"/>
    </row>
    <row r="7" spans="1:9" ht="15.9" customHeight="1">
      <c r="A7" s="4">
        <v>3</v>
      </c>
      <c r="B7" s="3" t="str">
        <f>HYPERLINK("https://www.cda-amc.ca/","Canada’s Drug Agency")</f>
        <v>Canada’s Drug Agency</v>
      </c>
      <c r="C7" s="30" t="s">
        <v>15</v>
      </c>
      <c r="D7" s="30" t="s">
        <v>24</v>
      </c>
      <c r="E7" s="30" t="s">
        <v>24</v>
      </c>
      <c r="F7" s="3" t="s">
        <v>4918</v>
      </c>
      <c r="G7" s="4" t="s">
        <v>4324</v>
      </c>
      <c r="H7" s="30" t="s">
        <v>4925</v>
      </c>
      <c r="I7" s="30"/>
    </row>
    <row r="8" spans="1:9" ht="15.9" customHeight="1">
      <c r="A8" s="4">
        <v>4</v>
      </c>
      <c r="B8" s="3" t="str">
        <f>HYPERLINK("https://www.inesss.qc.ca/en/about-us/about-the-institut.html","National Institute of Excellence in Health and Social Services (INESSS)")</f>
        <v>National Institute of Excellence in Health and Social Services (INESSS)</v>
      </c>
      <c r="C8" s="30" t="s">
        <v>15</v>
      </c>
      <c r="D8" s="30" t="s">
        <v>24</v>
      </c>
      <c r="E8" s="30" t="s">
        <v>24</v>
      </c>
      <c r="F8" s="3" t="s">
        <v>308</v>
      </c>
      <c r="G8" s="4" t="s">
        <v>4324</v>
      </c>
      <c r="H8" s="30" t="s">
        <v>4925</v>
      </c>
      <c r="I8" s="30"/>
    </row>
    <row r="9" spans="1:9" ht="15.9" customHeight="1">
      <c r="A9" s="4">
        <v>5</v>
      </c>
      <c r="B9" s="3" t="str">
        <f>HYPERLINK("http://www.pmprb-cepmb.gc.ca/home","Patented Medicine Prices Review Board (PMPRB)")</f>
        <v>Patented Medicine Prices Review Board (PMPRB)</v>
      </c>
      <c r="C9" s="30" t="s">
        <v>15</v>
      </c>
      <c r="D9" s="30" t="s">
        <v>24</v>
      </c>
      <c r="E9" s="30" t="s">
        <v>24</v>
      </c>
      <c r="F9" s="3" t="s">
        <v>309</v>
      </c>
      <c r="G9" s="4" t="s">
        <v>4324</v>
      </c>
      <c r="H9" s="30" t="s">
        <v>4925</v>
      </c>
      <c r="I9" s="30"/>
    </row>
    <row r="10" spans="1:9" ht="15.9" customHeight="1">
      <c r="A10" s="4">
        <v>6</v>
      </c>
      <c r="B10" s="3" t="str">
        <f>HYPERLINK("http://www.pdci.ca/about-us/","PDCI Market Access")</f>
        <v>PDCI Market Access</v>
      </c>
      <c r="C10" s="30" t="s">
        <v>15</v>
      </c>
      <c r="D10" s="30" t="s">
        <v>24</v>
      </c>
      <c r="E10" s="30" t="s">
        <v>24</v>
      </c>
      <c r="F10" s="3" t="s">
        <v>310</v>
      </c>
      <c r="G10" s="4" t="s">
        <v>4324</v>
      </c>
      <c r="H10" s="30" t="s">
        <v>4925</v>
      </c>
      <c r="I10" s="30"/>
    </row>
    <row r="11" spans="1:9" ht="15.9" customHeight="1">
      <c r="A11" s="4">
        <v>7</v>
      </c>
      <c r="B11" s="3" t="str">
        <f>HYPERLINK("https://solidarites-sante.gouv.fr/ministere/acteurs/instances-rattachees/article/ceps-comite-economique-des-produits-de-sante","Economic Committee for Health Products (CEPS)")</f>
        <v>Economic Committee for Health Products (CEPS)</v>
      </c>
      <c r="C11" s="30" t="s">
        <v>15</v>
      </c>
      <c r="D11" s="30" t="s">
        <v>292</v>
      </c>
      <c r="E11" s="30" t="s">
        <v>292</v>
      </c>
      <c r="F11" s="3" t="s">
        <v>293</v>
      </c>
      <c r="G11" s="4" t="s">
        <v>4324</v>
      </c>
      <c r="H11" s="30" t="s">
        <v>4925</v>
      </c>
      <c r="I11" s="30"/>
    </row>
    <row r="12" spans="1:9" ht="15.9" customHeight="1">
      <c r="A12" s="4">
        <v>8</v>
      </c>
      <c r="B12" s="3" t="str">
        <f>HYPERLINK("https://assurance-maladie.ameli.fr/qui-sommes-nous","National Health Insurance Fund (CNAM)")</f>
        <v>National Health Insurance Fund (CNAM)</v>
      </c>
      <c r="C12" s="30" t="s">
        <v>15</v>
      </c>
      <c r="D12" s="30" t="s">
        <v>292</v>
      </c>
      <c r="E12" s="30" t="s">
        <v>292</v>
      </c>
      <c r="F12" s="3" t="s">
        <v>294</v>
      </c>
      <c r="G12" s="4" t="s">
        <v>4324</v>
      </c>
      <c r="H12" s="30" t="s">
        <v>4925</v>
      </c>
      <c r="I12" s="30"/>
    </row>
    <row r="13" spans="1:9" ht="15.9" customHeight="1">
      <c r="A13" s="4">
        <v>9</v>
      </c>
      <c r="B13" s="3" t="str">
        <f>HYPERLINK("https://www.g-ba.de/","Federal Joint Committee (G-BA)")</f>
        <v>Federal Joint Committee (G-BA)</v>
      </c>
      <c r="C13" s="30" t="s">
        <v>15</v>
      </c>
      <c r="D13" s="30" t="s">
        <v>295</v>
      </c>
      <c r="E13" s="30" t="s">
        <v>295</v>
      </c>
      <c r="F13" s="3" t="s">
        <v>296</v>
      </c>
      <c r="G13" s="4" t="s">
        <v>4324</v>
      </c>
      <c r="H13" s="30" t="s">
        <v>4925</v>
      </c>
      <c r="I13" s="30"/>
    </row>
    <row r="14" spans="1:9" ht="15.9" customHeight="1">
      <c r="A14" s="4">
        <v>10</v>
      </c>
      <c r="B14" s="3" t="str">
        <f>HYPERLINK("https://www.gkv-spitzenverband.de/english/english.jsp","GKV Spitzenverband")</f>
        <v>GKV Spitzenverband</v>
      </c>
      <c r="C14" s="30" t="s">
        <v>15</v>
      </c>
      <c r="D14" s="30" t="s">
        <v>295</v>
      </c>
      <c r="E14" s="30" t="s">
        <v>295</v>
      </c>
      <c r="F14" s="3" t="s">
        <v>297</v>
      </c>
      <c r="G14" s="4" t="s">
        <v>4324</v>
      </c>
      <c r="H14" s="30" t="s">
        <v>4925</v>
      </c>
      <c r="I14" s="30"/>
    </row>
    <row r="15" spans="1:9" ht="15.9" customHeight="1">
      <c r="A15" s="4">
        <v>11</v>
      </c>
      <c r="B15" s="3" t="str">
        <f>HYPERLINK("https://www.iqwig.de/","Institute for Quality and Efficiency in Health Care (IQWiG)")</f>
        <v>Institute for Quality and Efficiency in Health Care (IQWiG)</v>
      </c>
      <c r="C15" s="30" t="s">
        <v>15</v>
      </c>
      <c r="D15" s="30" t="s">
        <v>295</v>
      </c>
      <c r="E15" s="30" t="s">
        <v>295</v>
      </c>
      <c r="F15" s="3" t="s">
        <v>4920</v>
      </c>
      <c r="G15" s="4" t="s">
        <v>4324</v>
      </c>
      <c r="H15" s="30" t="s">
        <v>4925</v>
      </c>
      <c r="I15" s="30"/>
    </row>
    <row r="16" spans="1:9" ht="15.9" customHeight="1">
      <c r="A16" s="4">
        <v>12</v>
      </c>
      <c r="B16" s="3" t="str">
        <f>HYPERLINK("https://www.agenas.it/","National Agency for Regional Health Services (AGENAS)")</f>
        <v>National Agency for Regional Health Services (AGENAS)</v>
      </c>
      <c r="C16" s="30" t="s">
        <v>15</v>
      </c>
      <c r="D16" s="30" t="s">
        <v>16</v>
      </c>
      <c r="E16" s="30" t="s">
        <v>16</v>
      </c>
      <c r="F16" s="3" t="s">
        <v>298</v>
      </c>
      <c r="G16" s="4" t="s">
        <v>4324</v>
      </c>
      <c r="H16" s="30" t="s">
        <v>4925</v>
      </c>
      <c r="I16" s="30"/>
    </row>
    <row r="17" spans="1:9" ht="15.9" customHeight="1">
      <c r="A17" s="4">
        <v>13</v>
      </c>
      <c r="B17" s="3" t="str">
        <f>HYPERLINK("https://assr.regione.emilia-romagna.it/","Regional Health and Social Agency")</f>
        <v>Regional Health and Social Agency</v>
      </c>
      <c r="C17" s="30" t="s">
        <v>15</v>
      </c>
      <c r="D17" s="30" t="s">
        <v>16</v>
      </c>
      <c r="E17" s="30" t="s">
        <v>16</v>
      </c>
      <c r="F17" s="3" t="s">
        <v>299</v>
      </c>
      <c r="G17" s="4" t="s">
        <v>4324</v>
      </c>
      <c r="H17" s="30" t="s">
        <v>4925</v>
      </c>
      <c r="I17" s="30"/>
    </row>
    <row r="18" spans="1:9" ht="15.9" customHeight="1">
      <c r="A18" s="4">
        <v>14</v>
      </c>
      <c r="B18" s="3" t="str">
        <f>HYPERLINK("https://www.mhlw.go.jp/stf/shingi/shingi-chuo_128153.html","Central Social Insurance Medical Council (Chuikyou)")</f>
        <v>Central Social Insurance Medical Council (Chuikyou)</v>
      </c>
      <c r="C18" s="30" t="s">
        <v>15</v>
      </c>
      <c r="D18" s="30" t="s">
        <v>316</v>
      </c>
      <c r="E18" s="30" t="s">
        <v>316</v>
      </c>
      <c r="F18" s="3" t="s">
        <v>4322</v>
      </c>
      <c r="G18" s="4" t="s">
        <v>4324</v>
      </c>
      <c r="H18" s="30" t="s">
        <v>4925</v>
      </c>
      <c r="I18" s="30"/>
    </row>
    <row r="19" spans="1:9" ht="15.9" customHeight="1">
      <c r="A19" s="4">
        <v>15</v>
      </c>
      <c r="B19" s="3" t="str">
        <f>HYPERLINK("http://aquas.gencat.cat/ca/inici/","Catalan Health Quality and Assessment Agency (AQuAS)")</f>
        <v>Catalan Health Quality and Assessment Agency (AQuAS)</v>
      </c>
      <c r="C19" s="30" t="s">
        <v>15</v>
      </c>
      <c r="D19" s="30" t="s">
        <v>311</v>
      </c>
      <c r="E19" s="30" t="s">
        <v>311</v>
      </c>
      <c r="F19" s="3" t="s">
        <v>312</v>
      </c>
      <c r="G19" s="4" t="s">
        <v>4324</v>
      </c>
      <c r="H19" s="30" t="s">
        <v>4925</v>
      </c>
      <c r="I19" s="30"/>
    </row>
    <row r="20" spans="1:9" ht="15.9" customHeight="1">
      <c r="A20" s="4">
        <v>16</v>
      </c>
      <c r="B20" s="3" t="str">
        <f>HYPERLINK("https://www.aetsa.org/","Health Technology Assessment Agency (AETSA)")</f>
        <v>Health Technology Assessment Agency (AETSA)</v>
      </c>
      <c r="C20" s="30" t="s">
        <v>15</v>
      </c>
      <c r="D20" s="30" t="s">
        <v>311</v>
      </c>
      <c r="E20" s="30" t="s">
        <v>311</v>
      </c>
      <c r="F20" s="3" t="s">
        <v>313</v>
      </c>
      <c r="G20" s="4" t="s">
        <v>4324</v>
      </c>
      <c r="H20" s="30" t="s">
        <v>4925</v>
      </c>
      <c r="I20" s="30"/>
    </row>
    <row r="21" spans="1:9" ht="15.9" customHeight="1">
      <c r="A21" s="4">
        <v>17</v>
      </c>
      <c r="B21" s="3" t="str">
        <f>HYPERLINK("http://www.awmsg.org/","AWMSG – All Wales Medicines Strategy Group")</f>
        <v>AWMSG – All Wales Medicines Strategy Group</v>
      </c>
      <c r="C21" s="30" t="s">
        <v>15</v>
      </c>
      <c r="D21" s="30" t="s">
        <v>17</v>
      </c>
      <c r="E21" s="30" t="s">
        <v>300</v>
      </c>
      <c r="F21" s="3" t="s">
        <v>301</v>
      </c>
      <c r="G21" s="4" t="s">
        <v>4324</v>
      </c>
      <c r="H21" s="30" t="s">
        <v>4925</v>
      </c>
      <c r="I21" s="30"/>
    </row>
    <row r="22" spans="1:9" ht="15.9" customHeight="1">
      <c r="A22" s="4">
        <v>18</v>
      </c>
      <c r="B22" s="3" t="str">
        <f>HYPERLINK("https://www.ndph.ox.ac.uk/research/health-services-research-unit-hsru","Health Services Research Unit")</f>
        <v>Health Services Research Unit</v>
      </c>
      <c r="C22" s="30" t="s">
        <v>15</v>
      </c>
      <c r="D22" s="30" t="s">
        <v>17</v>
      </c>
      <c r="E22" s="30" t="s">
        <v>17</v>
      </c>
      <c r="F22" s="3" t="s">
        <v>302</v>
      </c>
      <c r="G22" s="4" t="s">
        <v>4324</v>
      </c>
      <c r="H22" s="30" t="s">
        <v>4925</v>
      </c>
      <c r="I22" s="30"/>
    </row>
    <row r="23" spans="1:9" ht="15.9" customHeight="1">
      <c r="A23" s="4">
        <v>19</v>
      </c>
      <c r="B23" s="3" t="str">
        <f>HYPERLINK("https://www.health-ni.gov.uk/articles/about-medicines-regulatory-group#toc-1","Medicines Regulatory Group")</f>
        <v>Medicines Regulatory Group</v>
      </c>
      <c r="C23" s="30" t="s">
        <v>15</v>
      </c>
      <c r="D23" s="30" t="s">
        <v>17</v>
      </c>
      <c r="E23" s="30" t="s">
        <v>345</v>
      </c>
      <c r="F23" s="3" t="s">
        <v>4958</v>
      </c>
      <c r="G23" s="4" t="s">
        <v>4324</v>
      </c>
      <c r="H23" s="30" t="s">
        <v>4925</v>
      </c>
      <c r="I23" s="30"/>
    </row>
    <row r="24" spans="1:9" ht="15.9" customHeight="1">
      <c r="A24" s="4">
        <v>20</v>
      </c>
      <c r="B24" s="3" t="str">
        <f>HYPERLINK("https://www.nice.org.uk/","National Institute of Health and Care Excellence")</f>
        <v>National Institute of Health and Care Excellence</v>
      </c>
      <c r="C24" s="30" t="s">
        <v>15</v>
      </c>
      <c r="D24" s="30" t="s">
        <v>17</v>
      </c>
      <c r="E24" s="30" t="s">
        <v>17</v>
      </c>
      <c r="F24" s="3" t="s">
        <v>303</v>
      </c>
      <c r="G24" s="4" t="s">
        <v>4324</v>
      </c>
      <c r="H24" s="30" t="s">
        <v>4925</v>
      </c>
      <c r="I24" s="30"/>
    </row>
    <row r="25" spans="1:9" ht="15.9" customHeight="1">
      <c r="A25" s="4">
        <v>21</v>
      </c>
      <c r="B25" s="3" t="str">
        <f>HYPERLINK("https://www.nihr.ac.uk/","National Institute of Health Research")</f>
        <v>National Institute of Health Research</v>
      </c>
      <c r="C25" s="30" t="s">
        <v>15</v>
      </c>
      <c r="D25" s="30" t="s">
        <v>17</v>
      </c>
      <c r="E25" s="30" t="s">
        <v>17</v>
      </c>
      <c r="F25" s="3" t="s">
        <v>304</v>
      </c>
      <c r="G25" s="4" t="s">
        <v>4324</v>
      </c>
      <c r="H25" s="30" t="s">
        <v>4925</v>
      </c>
      <c r="I25" s="30"/>
    </row>
    <row r="26" spans="1:9" ht="15.9" customHeight="1">
      <c r="A26" s="4">
        <v>22</v>
      </c>
      <c r="B26" s="3" t="str">
        <f>HYPERLINK("https://www.england.nhs.uk/medicines-2/commercial-medicines/commercial-medicines-unit/","NHS - The Commercial Medicines Unit (CMU)")</f>
        <v>NHS - The Commercial Medicines Unit (CMU)</v>
      </c>
      <c r="C26" s="30" t="s">
        <v>15</v>
      </c>
      <c r="D26" s="30" t="s">
        <v>17</v>
      </c>
      <c r="E26" s="30" t="s">
        <v>26</v>
      </c>
      <c r="F26" s="3" t="s">
        <v>305</v>
      </c>
      <c r="G26" s="4" t="s">
        <v>4324</v>
      </c>
      <c r="H26" s="30" t="s">
        <v>4925</v>
      </c>
      <c r="I26" s="30"/>
    </row>
    <row r="27" spans="1:9" ht="15.9" customHeight="1">
      <c r="A27" s="4">
        <v>23</v>
      </c>
      <c r="B27" s="3" t="str">
        <f>HYPERLINK("http://www.scottishmedicines.org.uk/","SMC - Scottish Medicines Consortium")</f>
        <v>SMC - Scottish Medicines Consortium</v>
      </c>
      <c r="C27" s="30" t="s">
        <v>15</v>
      </c>
      <c r="D27" s="30" t="s">
        <v>17</v>
      </c>
      <c r="E27" s="30" t="s">
        <v>306</v>
      </c>
      <c r="F27" s="3" t="s">
        <v>307</v>
      </c>
      <c r="G27" s="4" t="s">
        <v>4324</v>
      </c>
      <c r="H27" s="30" t="s">
        <v>4925</v>
      </c>
      <c r="I27" s="30"/>
    </row>
    <row r="28" spans="1:9" ht="15.9" customHeight="1">
      <c r="A28" s="4">
        <v>24</v>
      </c>
      <c r="B28" s="3" t="str">
        <f>HYPERLINK("https://www.fda.gov/about-fda/fda-organization/center-biologics-evaluation-and-research-cber","Center for Biologics Evaluation and Research, FDA")</f>
        <v>Center for Biologics Evaluation and Research, FDA</v>
      </c>
      <c r="C28" s="30" t="s">
        <v>15</v>
      </c>
      <c r="D28" s="30" t="s">
        <v>18</v>
      </c>
      <c r="E28" s="30" t="s">
        <v>18</v>
      </c>
      <c r="F28" s="3" t="s">
        <v>31</v>
      </c>
      <c r="G28" s="4" t="s">
        <v>4324</v>
      </c>
      <c r="H28" s="30" t="s">
        <v>4925</v>
      </c>
      <c r="I28" s="30"/>
    </row>
    <row r="29" spans="1:9" ht="15.9" customHeight="1">
      <c r="A29" s="4">
        <v>25</v>
      </c>
      <c r="B29" s="3" t="str">
        <f>HYPERLINK("https://www.fda.gov/about-fda/fda-organization/center-drug-evaluation-and-research-cder","Center for Drug Evaluation and Research (CDER)")</f>
        <v>Center for Drug Evaluation and Research (CDER)</v>
      </c>
      <c r="C29" s="30" t="s">
        <v>15</v>
      </c>
      <c r="D29" s="30" t="s">
        <v>18</v>
      </c>
      <c r="E29" s="30" t="s">
        <v>18</v>
      </c>
      <c r="F29" s="3" t="s">
        <v>32</v>
      </c>
      <c r="G29" s="4" t="s">
        <v>4324</v>
      </c>
      <c r="H29" s="30" t="s">
        <v>4925</v>
      </c>
      <c r="I29" s="30"/>
    </row>
    <row r="30" spans="1:9" ht="15.9" customHeight="1">
      <c r="A30" s="4">
        <v>26</v>
      </c>
      <c r="B30" s="3" t="str">
        <f>HYPERLINK("https://icer.org/","Institute for Clinical and Economic Review (ICER)")</f>
        <v>Institute for Clinical and Economic Review (ICER)</v>
      </c>
      <c r="C30" s="30" t="s">
        <v>15</v>
      </c>
      <c r="D30" s="30" t="s">
        <v>18</v>
      </c>
      <c r="E30" s="30" t="s">
        <v>18</v>
      </c>
      <c r="F30" s="3" t="s">
        <v>33</v>
      </c>
      <c r="G30" s="4" t="s">
        <v>4324</v>
      </c>
      <c r="H30" s="30" t="s">
        <v>4925</v>
      </c>
      <c r="I30" s="30"/>
    </row>
    <row r="31" spans="1:9" ht="15.9" customHeight="1">
      <c r="A31" s="4">
        <v>27</v>
      </c>
      <c r="B31" s="3" t="str">
        <f>HYPERLINK("https://www.fda.gov/aboutfda/centersoffices/oc/officeofscientificandmedicalprograms/nctr/default.htm","National Center for Toxicological Research, FDA")</f>
        <v>National Center for Toxicological Research, FDA</v>
      </c>
      <c r="C31" s="30" t="s">
        <v>15</v>
      </c>
      <c r="D31" s="30" t="s">
        <v>18</v>
      </c>
      <c r="E31" s="30" t="s">
        <v>18</v>
      </c>
      <c r="F31" s="3" t="s">
        <v>34</v>
      </c>
      <c r="G31" s="4" t="s">
        <v>4324</v>
      </c>
      <c r="H31" s="30" t="s">
        <v>4925</v>
      </c>
      <c r="I31" s="30"/>
    </row>
    <row r="32" spans="1:9" ht="15.9" customHeight="1">
      <c r="A32" s="4">
        <v>28</v>
      </c>
      <c r="B32" s="3" t="str">
        <f>HYPERLINK("https://public4.pagefreezer.com/content/FDA/28-07-2023T13:45/https://www.fda.gov/about-fda/center-drug-evaluation-and-research-cder/office-biotechnology-products","Office of Biotechnology Products, FDA")</f>
        <v>Office of Biotechnology Products, FDA</v>
      </c>
      <c r="C32" s="30" t="s">
        <v>15</v>
      </c>
      <c r="D32" s="30" t="s">
        <v>18</v>
      </c>
      <c r="E32" s="30" t="s">
        <v>18</v>
      </c>
      <c r="F32" s="3" t="s">
        <v>3798</v>
      </c>
      <c r="G32" s="4" t="s">
        <v>4324</v>
      </c>
      <c r="H32" s="30" t="s">
        <v>4925</v>
      </c>
      <c r="I32" s="30"/>
    </row>
    <row r="33" spans="1:9" ht="15.9" customHeight="1">
      <c r="A33" s="4">
        <v>29</v>
      </c>
      <c r="B33" s="3" t="str">
        <f>HYPERLINK("https://www.fda.gov/aboutfda/centersoffices/officeofmedicalproductsandtobacco/officeofscienceandhealthcoordination/ucm2018190.htm","Office of Orphan Products Development, FDA")</f>
        <v>Office of Orphan Products Development, FDA</v>
      </c>
      <c r="C33" s="30" t="s">
        <v>15</v>
      </c>
      <c r="D33" s="30" t="s">
        <v>18</v>
      </c>
      <c r="E33" s="30" t="s">
        <v>18</v>
      </c>
      <c r="F33" s="3" t="s">
        <v>35</v>
      </c>
      <c r="G33" s="4" t="s">
        <v>4324</v>
      </c>
      <c r="H33" s="30" t="s">
        <v>4925</v>
      </c>
      <c r="I33" s="30"/>
    </row>
    <row r="34" spans="1:9" ht="15.9" customHeight="1">
      <c r="A34" s="4">
        <v>30</v>
      </c>
      <c r="B34" s="3" t="str">
        <f>HYPERLINK("https://www.fda.gov/aboutfda/centersoffices/officeofglobalregulatoryoperationsandpolicy/ora/default.htm","Office of Regulatory Affairs, FDA")</f>
        <v>Office of Regulatory Affairs, FDA</v>
      </c>
      <c r="C34" s="30" t="s">
        <v>15</v>
      </c>
      <c r="D34" s="30" t="s">
        <v>18</v>
      </c>
      <c r="E34" s="30" t="s">
        <v>18</v>
      </c>
      <c r="F34" s="3" t="s">
        <v>36</v>
      </c>
      <c r="G34" s="4" t="s">
        <v>4324</v>
      </c>
      <c r="H34" s="30" t="s">
        <v>4925</v>
      </c>
      <c r="I34" s="30"/>
    </row>
    <row r="35" spans="1:9" ht="15.9" customHeight="1">
      <c r="A35" s="4">
        <v>31</v>
      </c>
      <c r="B35" s="3" t="str">
        <f>HYPERLINK("https://www.ahrq.gov/research/findings/ta/index.html","Technology Assessment (TA) Program at AHRQ")</f>
        <v>Technology Assessment (TA) Program at AHRQ</v>
      </c>
      <c r="C35" s="30" t="s">
        <v>15</v>
      </c>
      <c r="D35" s="30" t="s">
        <v>18</v>
      </c>
      <c r="E35" s="30" t="s">
        <v>18</v>
      </c>
      <c r="F35" s="3" t="s">
        <v>37</v>
      </c>
      <c r="G35" s="4" t="s">
        <v>4324</v>
      </c>
      <c r="H35" s="30" t="s">
        <v>4925</v>
      </c>
      <c r="I35" s="30"/>
    </row>
  </sheetData>
  <autoFilter ref="A4:I35" xr:uid="{00000000-0009-0000-0000-000006000000}"/>
  <sortState xmlns:xlrd2="http://schemas.microsoft.com/office/spreadsheetml/2017/richdata2" ref="A5:G31">
    <sortCondition ref="C5:C31" customList="International,Regional,National"/>
    <sortCondition ref="D5:D31"/>
    <sortCondition ref="B5:B31"/>
  </sortState>
  <mergeCells count="2">
    <mergeCell ref="A1:I1"/>
    <mergeCell ref="A2:I3"/>
  </mergeCells>
  <hyperlinks>
    <hyperlink ref="F5" r:id="rId1" xr:uid="{00000000-0004-0000-0600-000000000000}"/>
    <hyperlink ref="F6" r:id="rId2" xr:uid="{00000000-0004-0000-0600-000001000000}"/>
    <hyperlink ref="F11" r:id="rId3" xr:uid="{00000000-0004-0000-0600-000002000000}"/>
    <hyperlink ref="F12" r:id="rId4" xr:uid="{00000000-0004-0000-0600-000003000000}"/>
    <hyperlink ref="F13" r:id="rId5" xr:uid="{00000000-0004-0000-0600-000004000000}"/>
    <hyperlink ref="F14" r:id="rId6" xr:uid="{00000000-0004-0000-0600-000005000000}"/>
    <hyperlink ref="F16" r:id="rId7" xr:uid="{00000000-0004-0000-0600-000006000000}"/>
    <hyperlink ref="F17" r:id="rId8" xr:uid="{00000000-0004-0000-0600-000007000000}"/>
    <hyperlink ref="F21" r:id="rId9" xr:uid="{00000000-0004-0000-0600-000008000000}"/>
    <hyperlink ref="F22" r:id="rId10" xr:uid="{00000000-0004-0000-0600-000009000000}"/>
    <hyperlink ref="F24" r:id="rId11" xr:uid="{00000000-0004-0000-0600-00000A000000}"/>
    <hyperlink ref="F25" r:id="rId12" xr:uid="{00000000-0004-0000-0600-00000B000000}"/>
    <hyperlink ref="F26" r:id="rId13" xr:uid="{00000000-0004-0000-0600-00000C000000}"/>
    <hyperlink ref="F27" r:id="rId14" xr:uid="{00000000-0004-0000-0600-00000D000000}"/>
    <hyperlink ref="F28" r:id="rId15" xr:uid="{00000000-0004-0000-0600-00000E000000}"/>
    <hyperlink ref="F29" r:id="rId16" xr:uid="{00000000-0004-0000-0600-00000F000000}"/>
    <hyperlink ref="F30" r:id="rId17" xr:uid="{00000000-0004-0000-0600-000010000000}"/>
    <hyperlink ref="F31" r:id="rId18" xr:uid="{00000000-0004-0000-0600-000011000000}"/>
    <hyperlink ref="F33" r:id="rId19" xr:uid="{00000000-0004-0000-0600-000012000000}"/>
    <hyperlink ref="F34" r:id="rId20" xr:uid="{00000000-0004-0000-0600-000013000000}"/>
    <hyperlink ref="F35" r:id="rId21" xr:uid="{00000000-0004-0000-0600-000014000000}"/>
    <hyperlink ref="F8" r:id="rId22" xr:uid="{00000000-0004-0000-0600-000015000000}"/>
    <hyperlink ref="F9" r:id="rId23" xr:uid="{00000000-0004-0000-0600-000016000000}"/>
    <hyperlink ref="F10" r:id="rId24" xr:uid="{00000000-0004-0000-0600-000017000000}"/>
    <hyperlink ref="F19" r:id="rId25" xr:uid="{00000000-0004-0000-0600-000018000000}"/>
    <hyperlink ref="F20" r:id="rId26" xr:uid="{00000000-0004-0000-0600-000019000000}"/>
    <hyperlink ref="F32" r:id="rId27" xr:uid="{00000000-0004-0000-0600-00001A000000}"/>
    <hyperlink ref="F18" r:id="rId28" xr:uid="{00000000-0004-0000-0600-00001B000000}"/>
    <hyperlink ref="F7" r:id="rId29" xr:uid="{00000000-0004-0000-0600-00001C000000}"/>
    <hyperlink ref="F15" r:id="rId30" xr:uid="{00000000-0004-0000-0600-00001D000000}"/>
    <hyperlink ref="F23" r:id="rId31" location="toc-1" xr:uid="{00000000-0004-0000-0600-00001E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ummaryRight="0"/>
  </sheetPr>
  <dimension ref="A1:I61"/>
  <sheetViews>
    <sheetView showGridLines="0" workbookViewId="0">
      <pane xSplit="2" ySplit="4" topLeftCell="C5" activePane="bottomRight" state="frozen"/>
      <selection pane="topRight"/>
      <selection pane="bottomLeft"/>
      <selection pane="bottomRight" activeCell="C5" sqref="C5"/>
    </sheetView>
  </sheetViews>
  <sheetFormatPr defaultColWidth="14.109375" defaultRowHeight="15" customHeight="1"/>
  <cols>
    <col min="1" max="1" width="6.109375" customWidth="1"/>
    <col min="2" max="2" width="70.88671875" customWidth="1"/>
    <col min="3" max="4" width="15.88671875" customWidth="1"/>
    <col min="5" max="5" width="23.88671875" customWidth="1"/>
    <col min="6" max="6" width="27.44140625" customWidth="1"/>
    <col min="7" max="8" width="15.5546875" customWidth="1"/>
    <col min="9" max="9" width="37.109375" customWidth="1"/>
  </cols>
  <sheetData>
    <row r="1" spans="1:9" ht="25.35" customHeight="1">
      <c r="A1" s="63" t="s">
        <v>0</v>
      </c>
      <c r="B1" s="63"/>
      <c r="C1" s="63"/>
      <c r="D1" s="63"/>
      <c r="E1" s="63"/>
      <c r="F1" s="63"/>
      <c r="G1" s="63"/>
      <c r="H1" s="63"/>
      <c r="I1" s="63"/>
    </row>
    <row r="2" spans="1:9" ht="15" customHeight="1">
      <c r="A2" s="64" t="s">
        <v>1</v>
      </c>
      <c r="B2" s="65"/>
      <c r="C2" s="65"/>
      <c r="D2" s="65"/>
      <c r="E2" s="65"/>
      <c r="F2" s="65"/>
      <c r="G2" s="65"/>
      <c r="H2" s="65"/>
      <c r="I2" s="65"/>
    </row>
    <row r="3" spans="1:9" ht="15" customHeight="1">
      <c r="A3" s="65"/>
      <c r="B3" s="65"/>
      <c r="C3" s="65"/>
      <c r="D3" s="65"/>
      <c r="E3" s="65"/>
      <c r="F3" s="65"/>
      <c r="G3" s="65"/>
      <c r="H3" s="65"/>
      <c r="I3" s="65"/>
    </row>
    <row r="4" spans="1:9" ht="28.5" customHeight="1">
      <c r="A4" s="9" t="s">
        <v>2</v>
      </c>
      <c r="B4" s="12" t="s">
        <v>38</v>
      </c>
      <c r="C4" s="9" t="s">
        <v>12</v>
      </c>
      <c r="D4" s="9" t="s">
        <v>13</v>
      </c>
      <c r="E4" s="12" t="s">
        <v>23</v>
      </c>
      <c r="F4" s="9" t="s">
        <v>5</v>
      </c>
      <c r="G4" s="12" t="s">
        <v>549</v>
      </c>
      <c r="H4" s="9" t="s">
        <v>4463</v>
      </c>
      <c r="I4" s="12" t="s">
        <v>6</v>
      </c>
    </row>
    <row r="5" spans="1:9" ht="15.9" customHeight="1">
      <c r="A5" s="4">
        <v>1</v>
      </c>
      <c r="B5" s="3" t="str">
        <f>HYPERLINK("http://www.ahwp.info/index.php/","Global Harmonization Working Party (GHWP)")</f>
        <v>Global Harmonization Working Party (GHWP)</v>
      </c>
      <c r="C5" s="5" t="s">
        <v>14</v>
      </c>
      <c r="D5" s="5" t="s">
        <v>14</v>
      </c>
      <c r="E5" s="5" t="s">
        <v>318</v>
      </c>
      <c r="F5" s="3" t="s">
        <v>319</v>
      </c>
      <c r="G5" s="15" t="s">
        <v>4324</v>
      </c>
      <c r="H5" s="5" t="s">
        <v>4925</v>
      </c>
      <c r="I5" s="8"/>
    </row>
    <row r="6" spans="1:9" ht="15.9" customHeight="1">
      <c r="A6" s="4">
        <v>2</v>
      </c>
      <c r="B6" s="3" t="str">
        <f>HYPERLINK("https://www.who.int/","WHO - World Health Organization")</f>
        <v>WHO - World Health Organization</v>
      </c>
      <c r="C6" s="5" t="s">
        <v>14</v>
      </c>
      <c r="D6" s="5" t="s">
        <v>14</v>
      </c>
      <c r="E6" s="5" t="s">
        <v>27</v>
      </c>
      <c r="F6" s="3" t="s">
        <v>320</v>
      </c>
      <c r="G6" s="15" t="s">
        <v>4324</v>
      </c>
      <c r="H6" s="5" t="s">
        <v>4925</v>
      </c>
      <c r="I6" s="8"/>
    </row>
    <row r="7" spans="1:9" ht="15.9" customHeight="1">
      <c r="A7" s="4">
        <v>3</v>
      </c>
      <c r="B7" s="3" t="str">
        <f>HYPERLINK("https://www.ecdc.europa.eu/en","European Centre for Disease Prevention and Control")</f>
        <v>European Centre for Disease Prevention and Control</v>
      </c>
      <c r="C7" s="5" t="s">
        <v>321</v>
      </c>
      <c r="D7" s="5" t="s">
        <v>322</v>
      </c>
      <c r="E7" s="5" t="s">
        <v>39</v>
      </c>
      <c r="F7" s="3" t="s">
        <v>4996</v>
      </c>
      <c r="G7" s="15" t="s">
        <v>4324</v>
      </c>
      <c r="H7" s="5" t="s">
        <v>4925</v>
      </c>
      <c r="I7" s="8"/>
    </row>
    <row r="8" spans="1:9" ht="15.9" customHeight="1">
      <c r="A8" s="4">
        <v>4</v>
      </c>
      <c r="B8" s="3" t="str">
        <f>HYPERLINK("https://www.ema.europa.eu/en/committees/committee-medicinal-products-human-use-chmp","European Commission Medicinal Products for Human Use")</f>
        <v>European Commission Medicinal Products for Human Use</v>
      </c>
      <c r="C8" s="5" t="s">
        <v>321</v>
      </c>
      <c r="D8" s="5" t="s">
        <v>322</v>
      </c>
      <c r="E8" s="5" t="s">
        <v>323</v>
      </c>
      <c r="F8" s="3" t="s">
        <v>324</v>
      </c>
      <c r="G8" s="15" t="s">
        <v>4324</v>
      </c>
      <c r="H8" s="5" t="s">
        <v>4925</v>
      </c>
      <c r="I8" s="8"/>
    </row>
    <row r="9" spans="1:9" ht="15.9" customHeight="1">
      <c r="A9" s="4">
        <v>5</v>
      </c>
      <c r="B9" s="3" t="str">
        <f>HYPERLINK("https://www.edqm.eu/en/","European Directorate for the Quality of Medicines &amp; Healthcare")</f>
        <v>European Directorate for the Quality of Medicines &amp; Healthcare</v>
      </c>
      <c r="C9" s="5" t="s">
        <v>321</v>
      </c>
      <c r="D9" s="5" t="s">
        <v>322</v>
      </c>
      <c r="E9" s="5" t="s">
        <v>292</v>
      </c>
      <c r="F9" s="3" t="s">
        <v>325</v>
      </c>
      <c r="G9" s="15" t="s">
        <v>4324</v>
      </c>
      <c r="H9" s="5" t="s">
        <v>4925</v>
      </c>
      <c r="I9" s="8"/>
    </row>
    <row r="10" spans="1:9" ht="15.9" customHeight="1">
      <c r="A10" s="4">
        <v>6</v>
      </c>
      <c r="B10" s="3" t="str">
        <f>HYPERLINK("http://www.hma.eu/","European Heads of Medicines Agencies")</f>
        <v>European Heads of Medicines Agencies</v>
      </c>
      <c r="C10" s="5" t="s">
        <v>321</v>
      </c>
      <c r="D10" s="5" t="s">
        <v>322</v>
      </c>
      <c r="E10" s="5"/>
      <c r="F10" s="3" t="s">
        <v>326</v>
      </c>
      <c r="G10" s="15" t="s">
        <v>4324</v>
      </c>
      <c r="H10" s="5" t="s">
        <v>4925</v>
      </c>
      <c r="I10" s="8"/>
    </row>
    <row r="11" spans="1:9" ht="15.9" customHeight="1">
      <c r="A11" s="4">
        <v>7</v>
      </c>
      <c r="B11" s="3" t="str">
        <f>HYPERLINK("http://www.ema.europa.eu/","European Medicines Agency")</f>
        <v>European Medicines Agency</v>
      </c>
      <c r="C11" s="5" t="s">
        <v>321</v>
      </c>
      <c r="D11" s="5" t="s">
        <v>322</v>
      </c>
      <c r="E11" s="5" t="s">
        <v>323</v>
      </c>
      <c r="F11" s="3" t="s">
        <v>327</v>
      </c>
      <c r="G11" s="15" t="s">
        <v>4324</v>
      </c>
      <c r="H11" s="5" t="s">
        <v>4925</v>
      </c>
      <c r="I11" s="8"/>
    </row>
    <row r="12" spans="1:9" ht="15.9" customHeight="1">
      <c r="A12" s="4">
        <v>8</v>
      </c>
      <c r="B12" s="3" t="str">
        <f>HYPERLINK("https://www.who.int/europe/home?v=welcome","WHO Regional Office for Europe")</f>
        <v>WHO Regional Office for Europe</v>
      </c>
      <c r="C12" s="5" t="s">
        <v>321</v>
      </c>
      <c r="D12" s="5" t="s">
        <v>322</v>
      </c>
      <c r="E12" s="5" t="s">
        <v>328</v>
      </c>
      <c r="F12" s="3" t="s">
        <v>329</v>
      </c>
      <c r="G12" s="15" t="s">
        <v>4324</v>
      </c>
      <c r="H12" s="5" t="s">
        <v>4925</v>
      </c>
      <c r="I12" s="8"/>
    </row>
    <row r="13" spans="1:9" ht="15.9" customHeight="1">
      <c r="A13" s="4">
        <v>9</v>
      </c>
      <c r="B13" s="3" t="str">
        <f>HYPERLINK("https://www.canada.ca/en/health-canada/corporate/about-health-canada/branches-agencies/health-products-food-branch.html","Canada: Health Products and Food Branch")</f>
        <v>Canada: Health Products and Food Branch</v>
      </c>
      <c r="C13" s="5" t="s">
        <v>15</v>
      </c>
      <c r="D13" s="5" t="s">
        <v>24</v>
      </c>
      <c r="E13" s="5" t="s">
        <v>24</v>
      </c>
      <c r="F13" s="3" t="s">
        <v>349</v>
      </c>
      <c r="G13" s="15" t="s">
        <v>4324</v>
      </c>
      <c r="H13" s="5" t="s">
        <v>4925</v>
      </c>
      <c r="I13" s="8"/>
    </row>
    <row r="14" spans="1:9" ht="15.9" customHeight="1">
      <c r="A14" s="4">
        <v>10</v>
      </c>
      <c r="B14" s="3" t="str">
        <f>HYPERLINK("https://www.canada.ca/en/health-canada.htm","Health Canada")</f>
        <v>Health Canada</v>
      </c>
      <c r="C14" s="5" t="s">
        <v>15</v>
      </c>
      <c r="D14" s="5" t="s">
        <v>24</v>
      </c>
      <c r="E14" s="5" t="s">
        <v>24</v>
      </c>
      <c r="F14" s="3" t="s">
        <v>350</v>
      </c>
      <c r="G14" s="15" t="s">
        <v>4324</v>
      </c>
      <c r="H14" s="5" t="s">
        <v>4925</v>
      </c>
      <c r="I14" s="8"/>
    </row>
    <row r="15" spans="1:9" ht="15.9" customHeight="1">
      <c r="A15" s="4">
        <v>11</v>
      </c>
      <c r="B15" s="3" t="str">
        <f>HYPERLINK("https://cihr-irsc.gc.ca/e/8602.html","Institute of Neurosciences, Mental Health and Addiction")</f>
        <v>Institute of Neurosciences, Mental Health and Addiction</v>
      </c>
      <c r="C15" s="5" t="s">
        <v>15</v>
      </c>
      <c r="D15" s="5" t="s">
        <v>24</v>
      </c>
      <c r="E15" s="5" t="s">
        <v>24</v>
      </c>
      <c r="F15" s="3" t="s">
        <v>368</v>
      </c>
      <c r="G15" s="15" t="s">
        <v>4324</v>
      </c>
      <c r="H15" s="5" t="s">
        <v>4925</v>
      </c>
      <c r="I15" s="8"/>
    </row>
    <row r="16" spans="1:9" ht="15.9" customHeight="1">
      <c r="A16" s="4">
        <v>12</v>
      </c>
      <c r="B16" s="3" t="str">
        <f>HYPERLINK("https://mentalhealthcommission.ca/","Mental Health Commission of Canada")</f>
        <v>Mental Health Commission of Canada</v>
      </c>
      <c r="C16" s="5" t="s">
        <v>15</v>
      </c>
      <c r="D16" s="5" t="s">
        <v>24</v>
      </c>
      <c r="E16" s="5" t="s">
        <v>24</v>
      </c>
      <c r="F16" s="3" t="s">
        <v>366</v>
      </c>
      <c r="G16" s="15" t="s">
        <v>4324</v>
      </c>
      <c r="H16" s="5" t="s">
        <v>4925</v>
      </c>
      <c r="I16" s="8"/>
    </row>
    <row r="17" spans="1:9" ht="15.9" customHeight="1">
      <c r="A17" s="4">
        <v>13</v>
      </c>
      <c r="B17" s="3" t="str">
        <f>HYPERLINK("https://www.canada.ca/en/public-health.html","Public Health Agency of Canada")</f>
        <v>Public Health Agency of Canada</v>
      </c>
      <c r="C17" s="5" t="s">
        <v>15</v>
      </c>
      <c r="D17" s="5" t="s">
        <v>24</v>
      </c>
      <c r="E17" s="5" t="s">
        <v>24</v>
      </c>
      <c r="F17" s="3" t="s">
        <v>351</v>
      </c>
      <c r="G17" s="15" t="s">
        <v>4324</v>
      </c>
      <c r="H17" s="5" t="s">
        <v>4925</v>
      </c>
      <c r="I17" s="8"/>
    </row>
    <row r="18" spans="1:9" ht="15.9" customHeight="1">
      <c r="A18" s="4">
        <v>14</v>
      </c>
      <c r="B18" s="3" t="str">
        <f>HYPERLINK("https://www.has-sante.fr/","High Authority of Health (HAS)")</f>
        <v>High Authority of Health (HAS)</v>
      </c>
      <c r="C18" s="5" t="s">
        <v>15</v>
      </c>
      <c r="D18" s="5" t="s">
        <v>292</v>
      </c>
      <c r="E18" s="5" t="s">
        <v>292</v>
      </c>
      <c r="F18" s="3" t="s">
        <v>330</v>
      </c>
      <c r="G18" s="15" t="s">
        <v>4324</v>
      </c>
      <c r="H18" s="5" t="s">
        <v>4925</v>
      </c>
      <c r="I18" s="8"/>
    </row>
    <row r="19" spans="1:9" ht="15.9" customHeight="1">
      <c r="A19" s="4">
        <v>15</v>
      </c>
      <c r="B19" s="3" t="str">
        <f>HYPERLINK("http://solidarites-sante.gouv.fr/","Ministry of Solidarity and Health")</f>
        <v>Ministry of Solidarity and Health</v>
      </c>
      <c r="C19" s="5" t="s">
        <v>15</v>
      </c>
      <c r="D19" s="5" t="s">
        <v>292</v>
      </c>
      <c r="E19" s="5" t="s">
        <v>292</v>
      </c>
      <c r="F19" s="3" t="s">
        <v>331</v>
      </c>
      <c r="G19" s="15" t="s">
        <v>4324</v>
      </c>
      <c r="H19" s="5" t="s">
        <v>4925</v>
      </c>
      <c r="I19" s="8"/>
    </row>
    <row r="20" spans="1:9" ht="15.9" customHeight="1">
      <c r="A20" s="4">
        <v>16</v>
      </c>
      <c r="B20" s="3" t="str">
        <f>HYPERLINK("http://ansm.sante.fr/","National Agency for the Safety of Medicine and Health Products")</f>
        <v>National Agency for the Safety of Medicine and Health Products</v>
      </c>
      <c r="C20" s="5" t="s">
        <v>15</v>
      </c>
      <c r="D20" s="5" t="s">
        <v>292</v>
      </c>
      <c r="E20" s="5" t="s">
        <v>292</v>
      </c>
      <c r="F20" s="3" t="s">
        <v>332</v>
      </c>
      <c r="G20" s="15" t="s">
        <v>4324</v>
      </c>
      <c r="H20" s="5" t="s">
        <v>4925</v>
      </c>
      <c r="I20" s="8"/>
    </row>
    <row r="21" spans="1:9" ht="15.9" customHeight="1">
      <c r="A21" s="4">
        <v>17</v>
      </c>
      <c r="B21" s="3" t="str">
        <f>HYPERLINK("http://www.bfarm.de/DE/Home/home_node.html","Federal Institute for Drugs and Medical Devices")</f>
        <v>Federal Institute for Drugs and Medical Devices</v>
      </c>
      <c r="C21" s="5" t="s">
        <v>15</v>
      </c>
      <c r="D21" s="5" t="s">
        <v>295</v>
      </c>
      <c r="E21" s="5" t="s">
        <v>295</v>
      </c>
      <c r="F21" s="3" t="s">
        <v>333</v>
      </c>
      <c r="G21" s="15" t="s">
        <v>4324</v>
      </c>
      <c r="H21" s="5" t="s">
        <v>4925</v>
      </c>
      <c r="I21" s="8"/>
    </row>
    <row r="22" spans="1:9" ht="15.9" customHeight="1">
      <c r="A22" s="4">
        <v>18</v>
      </c>
      <c r="B22" s="3" t="str">
        <f>HYPERLINK("https://www.bundesgesundheitsministerium.de/","Federal Ministry of Health - Germany")</f>
        <v>Federal Ministry of Health - Germany</v>
      </c>
      <c r="C22" s="5" t="s">
        <v>15</v>
      </c>
      <c r="D22" s="5" t="s">
        <v>295</v>
      </c>
      <c r="E22" s="5" t="s">
        <v>295</v>
      </c>
      <c r="F22" s="3" t="s">
        <v>334</v>
      </c>
      <c r="G22" s="15" t="s">
        <v>4324</v>
      </c>
      <c r="H22" s="5" t="s">
        <v>4925</v>
      </c>
      <c r="I22" s="8"/>
    </row>
    <row r="23" spans="1:9" ht="15.9" customHeight="1">
      <c r="A23" s="4">
        <v>19</v>
      </c>
      <c r="B23" s="3" t="str">
        <f>HYPERLINK("https://www.pei.de/DE/home/home-node.html","Paul-Ehrlich-Instituts in Langen (PEI)")</f>
        <v>Paul-Ehrlich-Instituts in Langen (PEI)</v>
      </c>
      <c r="C23" s="5" t="s">
        <v>15</v>
      </c>
      <c r="D23" s="5" t="s">
        <v>295</v>
      </c>
      <c r="E23" s="5" t="s">
        <v>295</v>
      </c>
      <c r="F23" s="3" t="s">
        <v>335</v>
      </c>
      <c r="G23" s="15" t="s">
        <v>4324</v>
      </c>
      <c r="H23" s="5" t="s">
        <v>4925</v>
      </c>
      <c r="I23" s="8"/>
    </row>
    <row r="24" spans="1:9" ht="15.9" customHeight="1">
      <c r="A24" s="4">
        <v>20</v>
      </c>
      <c r="B24" s="3" t="str">
        <f>HYPERLINK("http://www.rki.de/EN/Home/homepage_node.html","Robert Koch Institute")</f>
        <v>Robert Koch Institute</v>
      </c>
      <c r="C24" s="5" t="s">
        <v>15</v>
      </c>
      <c r="D24" s="5" t="s">
        <v>295</v>
      </c>
      <c r="E24" s="5" t="s">
        <v>295</v>
      </c>
      <c r="F24" s="3" t="s">
        <v>336</v>
      </c>
      <c r="G24" s="15" t="s">
        <v>4324</v>
      </c>
      <c r="H24" s="5" t="s">
        <v>4925</v>
      </c>
      <c r="I24" s="8"/>
    </row>
    <row r="25" spans="1:9" ht="15.9" customHeight="1">
      <c r="A25" s="4">
        <v>21</v>
      </c>
      <c r="B25" s="3" t="str">
        <f>HYPERLINK("https://www.aifa.gov.it/","Italian Medicines Agency")</f>
        <v>Italian Medicines Agency</v>
      </c>
      <c r="C25" s="5" t="s">
        <v>15</v>
      </c>
      <c r="D25" s="5" t="s">
        <v>16</v>
      </c>
      <c r="E25" s="5" t="s">
        <v>16</v>
      </c>
      <c r="F25" s="3" t="s">
        <v>337</v>
      </c>
      <c r="G25" s="15" t="s">
        <v>4324</v>
      </c>
      <c r="H25" s="5" t="s">
        <v>4925</v>
      </c>
      <c r="I25" s="8"/>
    </row>
    <row r="26" spans="1:9" ht="15.9" customHeight="1">
      <c r="A26" s="4">
        <v>22</v>
      </c>
      <c r="B26" s="3" t="str">
        <f>HYPERLINK("http://www.salute.gov.it/portale/home.html","Ministry of Health (Italy)")</f>
        <v>Ministry of Health (Italy)</v>
      </c>
      <c r="C26" s="5" t="s">
        <v>15</v>
      </c>
      <c r="D26" s="5" t="s">
        <v>16</v>
      </c>
      <c r="E26" s="5" t="s">
        <v>16</v>
      </c>
      <c r="F26" s="3" t="s">
        <v>338</v>
      </c>
      <c r="G26" s="15" t="s">
        <v>4324</v>
      </c>
      <c r="H26" s="5" t="s">
        <v>4925</v>
      </c>
      <c r="I26" s="8"/>
    </row>
    <row r="27" spans="1:9" ht="15.9" customHeight="1">
      <c r="A27" s="4">
        <v>23</v>
      </c>
      <c r="B27" s="3" t="str">
        <f>HYPERLINK("http://www.iss.it/","National Institute of Health (ISS)")</f>
        <v>National Institute of Health (ISS)</v>
      </c>
      <c r="C27" s="5" t="s">
        <v>15</v>
      </c>
      <c r="D27" s="5" t="s">
        <v>16</v>
      </c>
      <c r="E27" s="5" t="s">
        <v>16</v>
      </c>
      <c r="F27" s="3" t="s">
        <v>339</v>
      </c>
      <c r="G27" s="15" t="s">
        <v>4324</v>
      </c>
      <c r="H27" s="5" t="s">
        <v>4925</v>
      </c>
      <c r="I27" s="8"/>
    </row>
    <row r="28" spans="1:9" ht="15.9" customHeight="1">
      <c r="A28" s="4">
        <v>24</v>
      </c>
      <c r="B28" s="3" t="str">
        <f>HYPERLINK("https://www8.cao.go.jp/cstp/stmain.html","Cabinet Office: Science, Technology and Innovation")</f>
        <v>Cabinet Office: Science, Technology and Innovation</v>
      </c>
      <c r="C28" s="5" t="s">
        <v>15</v>
      </c>
      <c r="D28" s="5" t="s">
        <v>316</v>
      </c>
      <c r="E28" s="5" t="s">
        <v>316</v>
      </c>
      <c r="F28" s="3" t="s">
        <v>352</v>
      </c>
      <c r="G28" s="15" t="s">
        <v>4324</v>
      </c>
      <c r="H28" s="5" t="s">
        <v>4925</v>
      </c>
      <c r="I28" s="8"/>
    </row>
    <row r="29" spans="1:9" ht="15.9" customHeight="1">
      <c r="A29" s="4">
        <v>25</v>
      </c>
      <c r="B29" s="3" t="str">
        <f>HYPERLINK("https://www.jst.go.jp/","Japan Science and Technology Agency")</f>
        <v>Japan Science and Technology Agency</v>
      </c>
      <c r="C29" s="5" t="s">
        <v>15</v>
      </c>
      <c r="D29" s="5" t="s">
        <v>316</v>
      </c>
      <c r="E29" s="5" t="s">
        <v>316</v>
      </c>
      <c r="F29" s="3" t="s">
        <v>353</v>
      </c>
      <c r="G29" s="15" t="s">
        <v>4324</v>
      </c>
      <c r="H29" s="5" t="s">
        <v>4925</v>
      </c>
      <c r="I29" s="8"/>
    </row>
    <row r="30" spans="1:9" ht="15.9" customHeight="1">
      <c r="A30" s="4">
        <v>26</v>
      </c>
      <c r="B30" s="3" t="str">
        <f>HYPERLINK("https://www.amed.go.jp/index.html","Japanese Agency for Medical Research and Development")</f>
        <v>Japanese Agency for Medical Research and Development</v>
      </c>
      <c r="C30" s="5" t="s">
        <v>15</v>
      </c>
      <c r="D30" s="5" t="s">
        <v>316</v>
      </c>
      <c r="E30" s="5" t="s">
        <v>316</v>
      </c>
      <c r="F30" s="3" t="s">
        <v>354</v>
      </c>
      <c r="G30" s="15" t="s">
        <v>4324</v>
      </c>
      <c r="H30" s="5" t="s">
        <v>4925</v>
      </c>
      <c r="I30" s="8"/>
    </row>
    <row r="31" spans="1:9" ht="15.9" customHeight="1">
      <c r="A31" s="4">
        <v>27</v>
      </c>
      <c r="B31" s="3" t="str">
        <f>HYPERLINK("https://www.mext.go.jp/index.htm","Ministry of Education, Culture, Sports, Science and Technology")</f>
        <v>Ministry of Education, Culture, Sports, Science and Technology</v>
      </c>
      <c r="C31" s="5" t="s">
        <v>15</v>
      </c>
      <c r="D31" s="5" t="s">
        <v>316</v>
      </c>
      <c r="E31" s="5" t="s">
        <v>316</v>
      </c>
      <c r="F31" s="3" t="s">
        <v>355</v>
      </c>
      <c r="G31" s="15" t="s">
        <v>4324</v>
      </c>
      <c r="H31" s="5" t="s">
        <v>4925</v>
      </c>
      <c r="I31" s="8"/>
    </row>
    <row r="32" spans="1:9" ht="15.9" customHeight="1">
      <c r="A32" s="4">
        <v>28</v>
      </c>
      <c r="B32" s="3" t="str">
        <f>HYPERLINK("https://www.mhlw.go.jp/","Ministry of Health, Labour and Welfare of Japan")</f>
        <v>Ministry of Health, Labour and Welfare of Japan</v>
      </c>
      <c r="C32" s="5" t="s">
        <v>15</v>
      </c>
      <c r="D32" s="5" t="s">
        <v>316</v>
      </c>
      <c r="E32" s="5" t="s">
        <v>316</v>
      </c>
      <c r="F32" s="3" t="s">
        <v>356</v>
      </c>
      <c r="G32" s="15" t="s">
        <v>4324</v>
      </c>
      <c r="H32" s="5" t="s">
        <v>4925</v>
      </c>
      <c r="I32" s="8"/>
    </row>
    <row r="33" spans="1:9" ht="15.9" customHeight="1">
      <c r="A33" s="4">
        <v>29</v>
      </c>
      <c r="B33" s="3" t="str">
        <f>HYPERLINK("https://www.ncnp.go.jp/index.php","National Center of Neurology and Psychiatry")</f>
        <v>National Center of Neurology and Psychiatry</v>
      </c>
      <c r="C33" s="5" t="s">
        <v>15</v>
      </c>
      <c r="D33" s="5" t="s">
        <v>316</v>
      </c>
      <c r="E33" s="5" t="s">
        <v>316</v>
      </c>
      <c r="F33" s="3" t="s">
        <v>317</v>
      </c>
      <c r="G33" s="15" t="s">
        <v>4324</v>
      </c>
      <c r="H33" s="5" t="s">
        <v>4925</v>
      </c>
      <c r="I33" s="8"/>
    </row>
    <row r="34" spans="1:9" ht="15.9" customHeight="1">
      <c r="A34" s="4">
        <v>30</v>
      </c>
      <c r="B34" s="3" t="str">
        <f>HYPERLINK("http://www.nihs.go.jp/index-j.html","National Institute of Health Sciences - Japan")</f>
        <v>National Institute of Health Sciences - Japan</v>
      </c>
      <c r="C34" s="5" t="s">
        <v>15</v>
      </c>
      <c r="D34" s="5" t="s">
        <v>316</v>
      </c>
      <c r="E34" s="5" t="s">
        <v>316</v>
      </c>
      <c r="F34" s="3" t="s">
        <v>357</v>
      </c>
      <c r="G34" s="15" t="s">
        <v>4324</v>
      </c>
      <c r="H34" s="5" t="s">
        <v>4925</v>
      </c>
      <c r="I34" s="8"/>
    </row>
    <row r="35" spans="1:9" ht="15.9" customHeight="1">
      <c r="A35" s="4">
        <v>31</v>
      </c>
      <c r="B35" s="3" t="str">
        <f>HYPERLINK("https://www.niph.go.jp/","National Institute of Public Health")</f>
        <v>National Institute of Public Health</v>
      </c>
      <c r="C35" s="5" t="s">
        <v>15</v>
      </c>
      <c r="D35" s="5" t="s">
        <v>316</v>
      </c>
      <c r="E35" s="5" t="s">
        <v>316</v>
      </c>
      <c r="F35" s="3" t="s">
        <v>358</v>
      </c>
      <c r="G35" s="15" t="s">
        <v>4324</v>
      </c>
      <c r="H35" s="5" t="s">
        <v>4925</v>
      </c>
      <c r="I35" s="8"/>
    </row>
    <row r="36" spans="1:9" ht="15.9" customHeight="1">
      <c r="A36" s="4">
        <v>32</v>
      </c>
      <c r="B36" s="3" t="str">
        <f>HYPERLINK("https://www.pmda.go.jp/index.html","Pharmaceuticals and Medical Devices Agency")</f>
        <v>Pharmaceuticals and Medical Devices Agency</v>
      </c>
      <c r="C36" s="5" t="s">
        <v>15</v>
      </c>
      <c r="D36" s="5" t="s">
        <v>316</v>
      </c>
      <c r="E36" s="5" t="s">
        <v>316</v>
      </c>
      <c r="F36" s="3" t="s">
        <v>359</v>
      </c>
      <c r="G36" s="15" t="s">
        <v>4324</v>
      </c>
      <c r="H36" s="5" t="s">
        <v>4925</v>
      </c>
      <c r="I36" s="8"/>
    </row>
    <row r="37" spans="1:9" ht="15.9" customHeight="1">
      <c r="A37" s="4">
        <v>33</v>
      </c>
      <c r="B37" s="3" t="str">
        <f>HYPERLINK("https://www.wam.go.jp/hp/saitemap_new-tabid-1197/","Welfare and Medical Service Agency")</f>
        <v>Welfare and Medical Service Agency</v>
      </c>
      <c r="C37" s="5" t="s">
        <v>15</v>
      </c>
      <c r="D37" s="5" t="s">
        <v>316</v>
      </c>
      <c r="E37" s="5" t="s">
        <v>316</v>
      </c>
      <c r="F37" s="3" t="s">
        <v>360</v>
      </c>
      <c r="G37" s="15" t="s">
        <v>4324</v>
      </c>
      <c r="H37" s="5" t="s">
        <v>4925</v>
      </c>
      <c r="I37" s="8"/>
    </row>
    <row r="38" spans="1:9" ht="15.9" customHeight="1">
      <c r="A38" s="4">
        <v>34</v>
      </c>
      <c r="B38" s="3" t="str">
        <f>HYPERLINK("https://www.sanidad.gob.es/","Ministry of Health of Spain (MISAN)")</f>
        <v>Ministry of Health of Spain (MISAN)</v>
      </c>
      <c r="C38" s="5" t="s">
        <v>15</v>
      </c>
      <c r="D38" s="5" t="s">
        <v>311</v>
      </c>
      <c r="E38" s="5" t="s">
        <v>311</v>
      </c>
      <c r="F38" s="3" t="s">
        <v>361</v>
      </c>
      <c r="G38" s="15" t="s">
        <v>4324</v>
      </c>
      <c r="H38" s="5" t="s">
        <v>4925</v>
      </c>
      <c r="I38" s="8"/>
    </row>
    <row r="39" spans="1:9" ht="15.9" customHeight="1">
      <c r="A39" s="4">
        <v>35</v>
      </c>
      <c r="B39" s="3" t="str">
        <f>HYPERLINK("https://www.ciencia.gob.es/","Ministry of Science, Innovation and Universities")</f>
        <v>Ministry of Science, Innovation and Universities</v>
      </c>
      <c r="C39" s="5" t="s">
        <v>15</v>
      </c>
      <c r="D39" s="5" t="s">
        <v>311</v>
      </c>
      <c r="E39" s="5" t="s">
        <v>311</v>
      </c>
      <c r="F39" s="3" t="s">
        <v>362</v>
      </c>
      <c r="G39" s="15" t="s">
        <v>4324</v>
      </c>
      <c r="H39" s="5" t="s">
        <v>4925</v>
      </c>
      <c r="I39" s="8"/>
    </row>
    <row r="40" spans="1:9" ht="15.9" customHeight="1">
      <c r="A40" s="4">
        <v>36</v>
      </c>
      <c r="B40" s="3" t="str">
        <f>HYPERLINK("https://www.aemps.gob.es/","Spanish Agency of Medicines and Health Products")</f>
        <v>Spanish Agency of Medicines and Health Products</v>
      </c>
      <c r="C40" s="5" t="s">
        <v>15</v>
      </c>
      <c r="D40" s="5" t="s">
        <v>311</v>
      </c>
      <c r="E40" s="5" t="s">
        <v>311</v>
      </c>
      <c r="F40" s="3" t="s">
        <v>363</v>
      </c>
      <c r="G40" s="15" t="s">
        <v>4324</v>
      </c>
      <c r="H40" s="5" t="s">
        <v>4925</v>
      </c>
      <c r="I40" s="8"/>
    </row>
    <row r="41" spans="1:9" ht="15.9" customHeight="1">
      <c r="A41" s="4">
        <v>37</v>
      </c>
      <c r="B41" s="3" t="str">
        <f>HYPERLINK("https://www.csic.es/es","Spanish National Research Council (CSIC)")</f>
        <v>Spanish National Research Council (CSIC)</v>
      </c>
      <c r="C41" s="5" t="s">
        <v>15</v>
      </c>
      <c r="D41" s="5" t="s">
        <v>311</v>
      </c>
      <c r="E41" s="5" t="s">
        <v>311</v>
      </c>
      <c r="F41" s="3" t="s">
        <v>364</v>
      </c>
      <c r="G41" s="15" t="s">
        <v>4324</v>
      </c>
      <c r="H41" s="5" t="s">
        <v>4925</v>
      </c>
      <c r="I41" s="8"/>
    </row>
    <row r="42" spans="1:9" ht="15.9" customHeight="1">
      <c r="A42" s="4">
        <v>38</v>
      </c>
      <c r="B42" s="3" t="str">
        <f>HYPERLINK("https://www.gov.uk/government/organisations/department-of-health-and-social-care","DoH - Department of Health UK")</f>
        <v>DoH - Department of Health UK</v>
      </c>
      <c r="C42" s="5" t="s">
        <v>15</v>
      </c>
      <c r="D42" s="5" t="s">
        <v>17</v>
      </c>
      <c r="E42" s="5" t="s">
        <v>17</v>
      </c>
      <c r="F42" s="3" t="s">
        <v>340</v>
      </c>
      <c r="G42" s="15" t="s">
        <v>4324</v>
      </c>
      <c r="H42" s="5" t="s">
        <v>4925</v>
      </c>
      <c r="I42" s="8"/>
    </row>
    <row r="43" spans="1:9" ht="15.9" customHeight="1">
      <c r="A43" s="4">
        <v>39</v>
      </c>
      <c r="B43" s="3" t="str">
        <f>HYPERLINK("http://www.pharmacyregulation.org/","General Pharmaceutical Council")</f>
        <v>General Pharmaceutical Council</v>
      </c>
      <c r="C43" s="5" t="s">
        <v>15</v>
      </c>
      <c r="D43" s="5" t="s">
        <v>17</v>
      </c>
      <c r="E43" s="5" t="s">
        <v>17</v>
      </c>
      <c r="F43" s="3" t="s">
        <v>341</v>
      </c>
      <c r="G43" s="15" t="s">
        <v>4324</v>
      </c>
      <c r="H43" s="5" t="s">
        <v>4925</v>
      </c>
      <c r="I43" s="8"/>
    </row>
    <row r="44" spans="1:9" ht="15.9" customHeight="1">
      <c r="A44" s="4">
        <v>40</v>
      </c>
      <c r="B44" s="3" t="str">
        <f>HYPERLINK("http://www.mhra.gov.uk/index.htm","MHRA - Medicines and Healthcare Products Regulatory Agency")</f>
        <v>MHRA - Medicines and Healthcare Products Regulatory Agency</v>
      </c>
      <c r="C44" s="5" t="s">
        <v>15</v>
      </c>
      <c r="D44" s="5" t="s">
        <v>17</v>
      </c>
      <c r="E44" s="5" t="s">
        <v>17</v>
      </c>
      <c r="F44" s="3" t="s">
        <v>342</v>
      </c>
      <c r="G44" s="15" t="s">
        <v>4324</v>
      </c>
      <c r="H44" s="5" t="s">
        <v>4925</v>
      </c>
      <c r="I44" s="8"/>
    </row>
    <row r="45" spans="1:9" ht="15.9" customHeight="1">
      <c r="A45" s="4">
        <v>41</v>
      </c>
      <c r="B45" s="3" t="str">
        <f>HYPERLINK("https://www.england.nhs.uk/","NHS England")</f>
        <v>NHS England</v>
      </c>
      <c r="C45" s="5" t="s">
        <v>15</v>
      </c>
      <c r="D45" s="5" t="s">
        <v>17</v>
      </c>
      <c r="E45" s="5" t="s">
        <v>26</v>
      </c>
      <c r="F45" s="3" t="s">
        <v>343</v>
      </c>
      <c r="G45" s="15" t="s">
        <v>4324</v>
      </c>
      <c r="H45" s="5" t="s">
        <v>4925</v>
      </c>
      <c r="I45" s="8"/>
    </row>
    <row r="46" spans="1:9" ht="15.9" customHeight="1">
      <c r="A46" s="4">
        <v>42</v>
      </c>
      <c r="B46" s="3" t="str">
        <f>HYPERLINK("https://www.england.nhs.uk/commissioning/spec-services/npc-crg/group-d/neurology/","Transform Clinical Reference Group - Specialised Neurology (NHS England)")</f>
        <v>Transform Clinical Reference Group - Specialised Neurology (NHS England)</v>
      </c>
      <c r="C46" s="5" t="s">
        <v>15</v>
      </c>
      <c r="D46" s="5" t="s">
        <v>17</v>
      </c>
      <c r="E46" s="5" t="s">
        <v>26</v>
      </c>
      <c r="F46" s="3" t="s">
        <v>4326</v>
      </c>
      <c r="G46" s="15" t="s">
        <v>4324</v>
      </c>
      <c r="H46" s="5" t="s">
        <v>4925</v>
      </c>
      <c r="I46" s="8"/>
    </row>
    <row r="47" spans="1:9" ht="15.9" customHeight="1">
      <c r="A47" s="4">
        <v>43</v>
      </c>
      <c r="B47" s="3" t="str">
        <f>HYPERLINK("https://www.england.nhs.uk/commissioning/spec-services/npc-crg/group-c/","National Programmes of Care (NPoCs) - Mental Health (NHS England)")</f>
        <v>National Programmes of Care (NPoCs) - Mental Health (NHS England)</v>
      </c>
      <c r="C47" s="5" t="s">
        <v>15</v>
      </c>
      <c r="D47" s="5" t="s">
        <v>17</v>
      </c>
      <c r="E47" s="5" t="s">
        <v>26</v>
      </c>
      <c r="F47" s="3" t="s">
        <v>4919</v>
      </c>
      <c r="G47" s="15" t="s">
        <v>4324</v>
      </c>
      <c r="H47" s="5" t="s">
        <v>4925</v>
      </c>
      <c r="I47" s="8"/>
    </row>
    <row r="48" spans="1:9" ht="15.9" customHeight="1">
      <c r="A48" s="4">
        <v>44</v>
      </c>
      <c r="B48" s="3" t="str">
        <f>HYPERLINK("https://www.nihr.ac.uk/explore-nihr/funding-programmes/health-technology-assessment.htm","NIHR - Health Technology Assessment (HTA)")</f>
        <v>NIHR - Health Technology Assessment (HTA)</v>
      </c>
      <c r="C48" s="5" t="s">
        <v>15</v>
      </c>
      <c r="D48" s="5" t="s">
        <v>17</v>
      </c>
      <c r="E48" s="5" t="s">
        <v>17</v>
      </c>
      <c r="F48" s="3" t="s">
        <v>344</v>
      </c>
      <c r="G48" s="15" t="s">
        <v>4324</v>
      </c>
      <c r="H48" s="5" t="s">
        <v>4925</v>
      </c>
      <c r="I48" s="8"/>
    </row>
    <row r="49" spans="1:9" ht="15.9" customHeight="1">
      <c r="A49" s="4">
        <v>45</v>
      </c>
      <c r="B49" s="3" t="str">
        <f>HYPERLINK("https://www.publichealth.hscni.net/","Public Health Agency - Northern Ireland")</f>
        <v>Public Health Agency - Northern Ireland</v>
      </c>
      <c r="C49" s="5" t="s">
        <v>15</v>
      </c>
      <c r="D49" s="5" t="s">
        <v>17</v>
      </c>
      <c r="E49" s="5" t="s">
        <v>345</v>
      </c>
      <c r="F49" s="3" t="s">
        <v>346</v>
      </c>
      <c r="G49" s="15" t="s">
        <v>4324</v>
      </c>
      <c r="H49" s="5" t="s">
        <v>4925</v>
      </c>
      <c r="I49" s="8"/>
    </row>
    <row r="50" spans="1:9" ht="15.9" customHeight="1">
      <c r="A50" s="4">
        <v>46</v>
      </c>
      <c r="B50" s="3" t="str">
        <f>HYPERLINK("http://www.healthscotland.com/","Public Health Scotland")</f>
        <v>Public Health Scotland</v>
      </c>
      <c r="C50" s="5" t="s">
        <v>15</v>
      </c>
      <c r="D50" s="5" t="s">
        <v>17</v>
      </c>
      <c r="E50" s="5" t="s">
        <v>306</v>
      </c>
      <c r="F50" s="3" t="s">
        <v>347</v>
      </c>
      <c r="G50" s="15" t="s">
        <v>4324</v>
      </c>
      <c r="H50" s="5" t="s">
        <v>4925</v>
      </c>
      <c r="I50" s="8"/>
    </row>
    <row r="51" spans="1:9" ht="15.9" customHeight="1">
      <c r="A51" s="4">
        <v>47</v>
      </c>
      <c r="B51" s="3" t="str">
        <f>HYPERLINK("https://phw.nhs.wales/","Public Health Wales")</f>
        <v>Public Health Wales</v>
      </c>
      <c r="C51" s="5" t="s">
        <v>15</v>
      </c>
      <c r="D51" s="5" t="s">
        <v>17</v>
      </c>
      <c r="E51" s="5" t="s">
        <v>300</v>
      </c>
      <c r="F51" s="3" t="s">
        <v>348</v>
      </c>
      <c r="G51" s="15" t="s">
        <v>4324</v>
      </c>
      <c r="H51" s="5" t="s">
        <v>4925</v>
      </c>
      <c r="I51" s="8"/>
    </row>
    <row r="52" spans="1:9" ht="15.9" customHeight="1">
      <c r="A52" s="4">
        <v>48</v>
      </c>
      <c r="B52" s="3" t="str">
        <f>HYPERLINK("https://www.acf.hhs.gov/","Administration for Children &amp; Families (ACF)")</f>
        <v>Administration for Children &amp; Families (ACF)</v>
      </c>
      <c r="C52" s="5" t="s">
        <v>15</v>
      </c>
      <c r="D52" s="5" t="s">
        <v>18</v>
      </c>
      <c r="E52" s="5" t="s">
        <v>18</v>
      </c>
      <c r="F52" s="3" t="s">
        <v>40</v>
      </c>
      <c r="G52" s="15" t="s">
        <v>4324</v>
      </c>
      <c r="H52" s="5" t="s">
        <v>4925</v>
      </c>
      <c r="I52" s="8"/>
    </row>
    <row r="53" spans="1:9" ht="15.9" customHeight="1">
      <c r="A53" s="4">
        <v>49</v>
      </c>
      <c r="B53" s="3" t="str">
        <f>HYPERLINK("https://www.ahrq.gov/","Agency for Healthcare Research and Quality (AHRQ)")</f>
        <v>Agency for Healthcare Research and Quality (AHRQ)</v>
      </c>
      <c r="C53" s="5" t="s">
        <v>15</v>
      </c>
      <c r="D53" s="5" t="s">
        <v>18</v>
      </c>
      <c r="E53" s="5" t="s">
        <v>18</v>
      </c>
      <c r="F53" s="3" t="s">
        <v>41</v>
      </c>
      <c r="G53" s="15" t="s">
        <v>4324</v>
      </c>
      <c r="H53" s="5" t="s">
        <v>4925</v>
      </c>
      <c r="I53" s="8"/>
    </row>
    <row r="54" spans="1:9" ht="15.9" customHeight="1">
      <c r="A54" s="4">
        <v>50</v>
      </c>
      <c r="B54" s="3" t="str">
        <f>HYPERLINK("https://www.cdc.gov/index.htm","Centers for Disease Control and Prevention")</f>
        <v>Centers for Disease Control and Prevention</v>
      </c>
      <c r="C54" s="5" t="s">
        <v>15</v>
      </c>
      <c r="D54" s="5" t="s">
        <v>18</v>
      </c>
      <c r="E54" s="5" t="s">
        <v>18</v>
      </c>
      <c r="F54" s="3" t="s">
        <v>45</v>
      </c>
      <c r="G54" s="15" t="s">
        <v>4324</v>
      </c>
      <c r="H54" s="5" t="s">
        <v>4925</v>
      </c>
      <c r="I54" s="8"/>
    </row>
    <row r="55" spans="1:9" ht="15.9" customHeight="1">
      <c r="A55" s="4">
        <v>51</v>
      </c>
      <c r="B55" s="3" t="str">
        <f>HYPERLINK("https://www.nia.nih.gov/","National Institute on Aging")</f>
        <v>National Institute on Aging</v>
      </c>
      <c r="C55" s="5" t="s">
        <v>15</v>
      </c>
      <c r="D55" s="5" t="s">
        <v>18</v>
      </c>
      <c r="E55" s="5" t="s">
        <v>18</v>
      </c>
      <c r="F55" s="3" t="s">
        <v>4323</v>
      </c>
      <c r="G55" s="15" t="s">
        <v>4324</v>
      </c>
      <c r="H55" s="5" t="s">
        <v>4925</v>
      </c>
      <c r="I55" s="8"/>
    </row>
    <row r="56" spans="1:9" ht="15.9" customHeight="1">
      <c r="A56" s="4">
        <v>52</v>
      </c>
      <c r="B56" s="3" t="str">
        <f>HYPERLINK("https://www.nimh.nih.gov/","National Institute of Mental Health")</f>
        <v>National Institute of Mental Health</v>
      </c>
      <c r="C56" s="5" t="s">
        <v>15</v>
      </c>
      <c r="D56" s="5" t="s">
        <v>18</v>
      </c>
      <c r="E56" s="5" t="s">
        <v>18</v>
      </c>
      <c r="F56" s="3" t="s">
        <v>315</v>
      </c>
      <c r="G56" s="15" t="s">
        <v>4324</v>
      </c>
      <c r="H56" s="5" t="s">
        <v>4925</v>
      </c>
      <c r="I56" s="8"/>
    </row>
    <row r="57" spans="1:9" ht="15.9" customHeight="1">
      <c r="A57" s="4">
        <v>53</v>
      </c>
      <c r="B57" s="3" t="str">
        <f>HYPERLINK("https://www.nih.gov/about-nih/who-we-are","National Institutes of Health (NIH)")</f>
        <v>National Institutes of Health (NIH)</v>
      </c>
      <c r="C57" s="5" t="s">
        <v>15</v>
      </c>
      <c r="D57" s="5" t="s">
        <v>18</v>
      </c>
      <c r="E57" s="5" t="s">
        <v>18</v>
      </c>
      <c r="F57" s="3" t="s">
        <v>42</v>
      </c>
      <c r="G57" s="15" t="s">
        <v>4324</v>
      </c>
      <c r="H57" s="5" t="s">
        <v>4925</v>
      </c>
      <c r="I57" s="8"/>
    </row>
    <row r="58" spans="1:9" ht="15.9" customHeight="1">
      <c r="A58" s="4">
        <v>54</v>
      </c>
      <c r="B58" s="3" t="str">
        <f>HYPERLINK("https://www.samhsa.gov/","Substance Abuse and Mental Health Services Administration")</f>
        <v>Substance Abuse and Mental Health Services Administration</v>
      </c>
      <c r="C58" s="5" t="s">
        <v>15</v>
      </c>
      <c r="D58" s="5" t="s">
        <v>18</v>
      </c>
      <c r="E58" s="5" t="s">
        <v>18</v>
      </c>
      <c r="F58" s="3" t="s">
        <v>365</v>
      </c>
      <c r="G58" s="15" t="s">
        <v>4324</v>
      </c>
      <c r="H58" s="5" t="s">
        <v>4925</v>
      </c>
      <c r="I58" s="8"/>
    </row>
    <row r="59" spans="1:9" ht="15.9" customHeight="1">
      <c r="A59" s="4">
        <v>55</v>
      </c>
      <c r="B59" s="3" t="str">
        <f>HYPERLINK("http://www.fda.gov/","U S Food and Drug Administration")</f>
        <v>U S Food and Drug Administration</v>
      </c>
      <c r="C59" s="5" t="s">
        <v>15</v>
      </c>
      <c r="D59" s="5" t="s">
        <v>18</v>
      </c>
      <c r="E59" s="5" t="s">
        <v>18</v>
      </c>
      <c r="F59" s="3" t="s">
        <v>43</v>
      </c>
      <c r="G59" s="15" t="s">
        <v>4324</v>
      </c>
      <c r="H59" s="5" t="s">
        <v>4925</v>
      </c>
      <c r="I59" s="8"/>
    </row>
    <row r="60" spans="1:9" ht="15.9" customHeight="1">
      <c r="A60" s="4">
        <v>56</v>
      </c>
      <c r="B60" s="3" t="str">
        <f>HYPERLINK("https://www.hhs.gov/","U.S. Department of Health &amp; Human Services")</f>
        <v>U.S. Department of Health &amp; Human Services</v>
      </c>
      <c r="C60" s="5" t="s">
        <v>15</v>
      </c>
      <c r="D60" s="5" t="s">
        <v>18</v>
      </c>
      <c r="E60" s="5" t="s">
        <v>18</v>
      </c>
      <c r="F60" s="3" t="s">
        <v>44</v>
      </c>
      <c r="G60" s="15" t="s">
        <v>4324</v>
      </c>
      <c r="H60" s="5" t="s">
        <v>4925</v>
      </c>
      <c r="I60" s="8"/>
    </row>
    <row r="61" spans="1:9" ht="15.9" customHeight="1">
      <c r="A61" s="4">
        <v>57</v>
      </c>
      <c r="B61" s="3" t="str">
        <f>HYPERLINK("https://www.va.gov/health/","Veterans Health Administration")</f>
        <v>Veterans Health Administration</v>
      </c>
      <c r="C61" s="5" t="s">
        <v>15</v>
      </c>
      <c r="D61" s="5" t="s">
        <v>18</v>
      </c>
      <c r="E61" s="5" t="s">
        <v>18</v>
      </c>
      <c r="F61" s="3" t="s">
        <v>367</v>
      </c>
      <c r="G61" s="15" t="s">
        <v>4324</v>
      </c>
      <c r="H61" s="5" t="s">
        <v>4925</v>
      </c>
      <c r="I61" s="8"/>
    </row>
  </sheetData>
  <autoFilter ref="A4:I61" xr:uid="{00000000-0009-0000-0000-000007000000}"/>
  <sortState xmlns:xlrd2="http://schemas.microsoft.com/office/spreadsheetml/2017/richdata2" ref="A5:G61">
    <sortCondition ref="C5:C61" customList="International,Regional,National"/>
    <sortCondition ref="D5:D61"/>
    <sortCondition ref="B5:B61"/>
  </sortState>
  <mergeCells count="2">
    <mergeCell ref="A1:I1"/>
    <mergeCell ref="A2:I3"/>
  </mergeCells>
  <hyperlinks>
    <hyperlink ref="F5" r:id="rId1" xr:uid="{00000000-0004-0000-0700-000000000000}"/>
    <hyperlink ref="F6" r:id="rId2" xr:uid="{00000000-0004-0000-0700-000001000000}"/>
    <hyperlink ref="F8" r:id="rId3" xr:uid="{00000000-0004-0000-0700-000002000000}"/>
    <hyperlink ref="F9" r:id="rId4" xr:uid="{00000000-0004-0000-0700-000003000000}"/>
    <hyperlink ref="F11" r:id="rId5" xr:uid="{00000000-0004-0000-0700-000004000000}"/>
    <hyperlink ref="F12" r:id="rId6" xr:uid="{00000000-0004-0000-0700-000005000000}"/>
    <hyperlink ref="F13" r:id="rId7" xr:uid="{00000000-0004-0000-0700-000006000000}"/>
    <hyperlink ref="F14" r:id="rId8" xr:uid="{00000000-0004-0000-0700-000007000000}"/>
    <hyperlink ref="F15" r:id="rId9" xr:uid="{00000000-0004-0000-0700-000008000000}"/>
    <hyperlink ref="F16" r:id="rId10" xr:uid="{00000000-0004-0000-0700-000009000000}"/>
    <hyperlink ref="F17" r:id="rId11" xr:uid="{00000000-0004-0000-0700-00000A000000}"/>
    <hyperlink ref="F18" r:id="rId12" xr:uid="{00000000-0004-0000-0700-00000B000000}"/>
    <hyperlink ref="F19" r:id="rId13" xr:uid="{00000000-0004-0000-0700-00000C000000}"/>
    <hyperlink ref="F20" r:id="rId14" xr:uid="{00000000-0004-0000-0700-00000D000000}"/>
    <hyperlink ref="F21" r:id="rId15" xr:uid="{00000000-0004-0000-0700-00000E000000}"/>
    <hyperlink ref="F22" r:id="rId16" xr:uid="{00000000-0004-0000-0700-00000F000000}"/>
    <hyperlink ref="F23" r:id="rId17" xr:uid="{00000000-0004-0000-0700-000010000000}"/>
    <hyperlink ref="F24" r:id="rId18" xr:uid="{00000000-0004-0000-0700-000011000000}"/>
    <hyperlink ref="F25" r:id="rId19" xr:uid="{00000000-0004-0000-0700-000012000000}"/>
    <hyperlink ref="F26" r:id="rId20" xr:uid="{00000000-0004-0000-0700-000013000000}"/>
    <hyperlink ref="F27" r:id="rId21" xr:uid="{00000000-0004-0000-0700-000014000000}"/>
    <hyperlink ref="F28" r:id="rId22" xr:uid="{00000000-0004-0000-0700-000015000000}"/>
    <hyperlink ref="F29" r:id="rId23" xr:uid="{00000000-0004-0000-0700-000016000000}"/>
    <hyperlink ref="F30" r:id="rId24" xr:uid="{00000000-0004-0000-0700-000017000000}"/>
    <hyperlink ref="F31" r:id="rId25" xr:uid="{00000000-0004-0000-0700-000018000000}"/>
    <hyperlink ref="F32" r:id="rId26" xr:uid="{00000000-0004-0000-0700-000019000000}"/>
    <hyperlink ref="F33" r:id="rId27" xr:uid="{00000000-0004-0000-0700-00001A000000}"/>
    <hyperlink ref="F34" r:id="rId28" xr:uid="{00000000-0004-0000-0700-00001B000000}"/>
    <hyperlink ref="F35" r:id="rId29" xr:uid="{00000000-0004-0000-0700-00001C000000}"/>
    <hyperlink ref="F36" r:id="rId30" xr:uid="{00000000-0004-0000-0700-00001D000000}"/>
    <hyperlink ref="F37" r:id="rId31" xr:uid="{00000000-0004-0000-0700-00001E000000}"/>
    <hyperlink ref="F38" r:id="rId32" xr:uid="{00000000-0004-0000-0700-00001F000000}"/>
    <hyperlink ref="F39" r:id="rId33" xr:uid="{00000000-0004-0000-0700-000020000000}"/>
    <hyperlink ref="F40" r:id="rId34" xr:uid="{00000000-0004-0000-0700-000021000000}"/>
    <hyperlink ref="F41" r:id="rId35" xr:uid="{00000000-0004-0000-0700-000022000000}"/>
    <hyperlink ref="F42" r:id="rId36" xr:uid="{00000000-0004-0000-0700-000023000000}"/>
    <hyperlink ref="F43" r:id="rId37" xr:uid="{00000000-0004-0000-0700-000024000000}"/>
    <hyperlink ref="F44" r:id="rId38" xr:uid="{00000000-0004-0000-0700-000025000000}"/>
    <hyperlink ref="F45" r:id="rId39" xr:uid="{00000000-0004-0000-0700-000026000000}"/>
    <hyperlink ref="F48" r:id="rId40" xr:uid="{00000000-0004-0000-0700-000027000000}"/>
    <hyperlink ref="F49" r:id="rId41" xr:uid="{00000000-0004-0000-0700-000028000000}"/>
    <hyperlink ref="F50" r:id="rId42" xr:uid="{00000000-0004-0000-0700-000029000000}"/>
    <hyperlink ref="F51" r:id="rId43" xr:uid="{00000000-0004-0000-0700-00002A000000}"/>
    <hyperlink ref="F52" r:id="rId44" xr:uid="{00000000-0004-0000-0700-00002B000000}"/>
    <hyperlink ref="F53" r:id="rId45" xr:uid="{00000000-0004-0000-0700-00002C000000}"/>
    <hyperlink ref="F54" r:id="rId46" xr:uid="{00000000-0004-0000-0700-00002D000000}"/>
    <hyperlink ref="F56" r:id="rId47" xr:uid="{00000000-0004-0000-0700-00002E000000}"/>
    <hyperlink ref="F57" r:id="rId48" xr:uid="{00000000-0004-0000-0700-00002F000000}"/>
    <hyperlink ref="F58" r:id="rId49" xr:uid="{00000000-0004-0000-0700-000030000000}"/>
    <hyperlink ref="F59" r:id="rId50" xr:uid="{00000000-0004-0000-0700-000031000000}"/>
    <hyperlink ref="F60" r:id="rId51" xr:uid="{00000000-0004-0000-0700-000032000000}"/>
    <hyperlink ref="F61" r:id="rId52" xr:uid="{00000000-0004-0000-0700-000033000000}"/>
    <hyperlink ref="F10" r:id="rId53" xr:uid="{00000000-0004-0000-0700-000034000000}"/>
    <hyperlink ref="F55" r:id="rId54" xr:uid="{00000000-0004-0000-0700-000035000000}"/>
    <hyperlink ref="F46" r:id="rId55" xr:uid="{00000000-0004-0000-0700-000036000000}"/>
    <hyperlink ref="F47" r:id="rId56" xr:uid="{00000000-0004-0000-0700-000037000000}"/>
    <hyperlink ref="F7" r:id="rId57" xr:uid="{00000000-0004-0000-0700-000038000000}"/>
  </hyperlinks>
  <pageMargins left="0.7" right="0.7" top="0.75" bottom="0.75" header="0" footer="0"/>
  <pageSetup orientation="landscape" r:id="rId5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7EB3696C166B4E98EC7230A836A500" ma:contentTypeVersion="21" ma:contentTypeDescription="Create a new document." ma:contentTypeScope="" ma:versionID="d0252fa9e8ce32db289fcc04af7da083">
  <xsd:schema xmlns:xsd="http://www.w3.org/2001/XMLSchema" xmlns:xs="http://www.w3.org/2001/XMLSchema" xmlns:p="http://schemas.microsoft.com/office/2006/metadata/properties" xmlns:ns2="a497d734-4801-40da-89ef-017d807fa2a8" xmlns:ns3="32bdb438-7d0f-4225-b594-ab5c81528ae2" targetNamespace="http://schemas.microsoft.com/office/2006/metadata/properties" ma:root="true" ma:fieldsID="b27134fb40eced3b7ae49a2ced564ec8" ns2:_="" ns3:_="">
    <xsd:import namespace="a497d734-4801-40da-89ef-017d807fa2a8"/>
    <xsd:import namespace="32bdb438-7d0f-4225-b594-ab5c81528ae2"/>
    <xsd:element name="properties">
      <xsd:complexType>
        <xsd:sequence>
          <xsd:element name="documentManagement">
            <xsd:complexType>
              <xsd:all>
                <xsd:element ref="ns2:SharedWithDetails" minOccurs="0"/>
                <xsd:element ref="ns2:SharedWithUser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2:TaxKeywordTaxHTField"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97d734-4801-40da-89ef-017d807fa2a8" elementFormDefault="qualified">
    <xsd:import namespace="http://schemas.microsoft.com/office/2006/documentManagement/types"/>
    <xsd:import namespace="http://schemas.microsoft.com/office/infopath/2007/PartnerControls"/>
    <xsd:element name="SharedWithDetails" ma:index="8" nillable="true" ma:displayName="Shared With Details" ma:description=""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3" nillable="true" ma:displayName="Taxonomy Catch All Column" ma:hidden="true" ma:list="{55cb9c4c-58e5-407b-9a70-3c8acc7b7146}" ma:internalName="TaxCatchAll" ma:showField="CatchAllData" ma:web="a497d734-4801-40da-89ef-017d807fa2a8">
      <xsd:complexType>
        <xsd:complexContent>
          <xsd:extension base="dms:MultiChoiceLookup">
            <xsd:sequence>
              <xsd:element name="Value" type="dms:Lookup" maxOccurs="unbounded" minOccurs="0" nillable="true"/>
            </xsd:sequence>
          </xsd:extension>
        </xsd:complexContent>
      </xsd:complexType>
    </xsd:element>
    <xsd:element name="TaxKeywordTaxHTField" ma:index="27"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2bdb438-7d0f-4225-b594-ab5c81528a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23ccff-1beb-4bf6-8606-78be1bc4f3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97d734-4801-40da-89ef-017d807fa2a8" xsi:nil="true"/>
    <lcf76f155ced4ddcb4097134ff3c332f xmlns="32bdb438-7d0f-4225-b594-ab5c81528ae2">
      <Terms xmlns="http://schemas.microsoft.com/office/infopath/2007/PartnerControls"/>
    </lcf76f155ced4ddcb4097134ff3c332f>
    <TaxKeywordTaxHTField xmlns="a497d734-4801-40da-89ef-017d807fa2a8">
      <Terms xmlns="http://schemas.microsoft.com/office/infopath/2007/PartnerControls"/>
    </TaxKeywordTaxHTField>
  </documentManagement>
</p:properties>
</file>

<file path=customXml/itemProps1.xml><?xml version="1.0" encoding="utf-8"?>
<ds:datastoreItem xmlns:ds="http://schemas.openxmlformats.org/officeDocument/2006/customXml" ds:itemID="{6449DE94-EFB2-41A8-9471-3FA6E6FC3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97d734-4801-40da-89ef-017d807fa2a8"/>
    <ds:schemaRef ds:uri="32bdb438-7d0f-4225-b594-ab5c81528a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F35B65-78EA-42ED-ADEA-0057F3BB7C1C}">
  <ds:schemaRefs/>
</ds:datastoreItem>
</file>

<file path=customXml/itemProps3.xml><?xml version="1.0" encoding="utf-8"?>
<ds:datastoreItem xmlns:ds="http://schemas.openxmlformats.org/officeDocument/2006/customXml" ds:itemID="{D47F517D-49D9-4CC3-83D4-8F161F16747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497d734-4801-40da-89ef-017d807fa2a8"/>
    <ds:schemaRef ds:uri="32bdb438-7d0f-4225-b594-ab5c81528a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Publications</vt:lpstr>
      <vt:lpstr>Journals</vt:lpstr>
      <vt:lpstr>Clinical Trials</vt:lpstr>
      <vt:lpstr>Congresses</vt:lpstr>
      <vt:lpstr>Guidelines</vt:lpstr>
      <vt:lpstr>Patient Organizations</vt:lpstr>
      <vt:lpstr>Professional Organizations</vt:lpstr>
      <vt:lpstr>Payor Drug Evaluation Groups</vt:lpstr>
      <vt:lpstr>Regulatory Agencies</vt:lpstr>
      <vt:lpstr>Center of Excellence</vt:lpstr>
      <vt:lpstr>Private Clinics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Patrick Giles</cp:lastModifiedBy>
  <cp:lastPrinted>2023-12-21T12:32:48Z</cp:lastPrinted>
  <dcterms:created xsi:type="dcterms:W3CDTF">2021-04-29T13:01:00Z</dcterms:created>
  <dcterms:modified xsi:type="dcterms:W3CDTF">2025-07-14T15:05:48Z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0x0101009A7EB3696C166B4E98EC7230A836A500</vt:lpwstr>
  </property>
  <property fmtid="{D5CDD505-2E9C-101B-9397-08002B2CF9AE}" pid="3" name="ICV">
    <vt:lpwstr>BC3018DFB21A4E708F9D18D7D97B5ED7_12</vt:lpwstr>
  </property>
  <property fmtid="{D5CDD505-2E9C-101B-9397-08002B2CF9AE}" pid="4" name="KSOProductBuildVer">
    <vt:lpwstr>1033-12.2.0.13266</vt:lpwstr>
  </property>
  <property fmtid="{D5CDD505-2E9C-101B-9397-08002B2CF9AE}" pid="5" name="MediaServiceImageTags">
    <vt:lpwstr/>
  </property>
  <property fmtid="{D5CDD505-2E9C-101B-9397-08002B2CF9AE}" pid="6" name="TaxKeyword">
    <vt:lpwstr/>
  </property>
</Properties>
</file>