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680" yWindow="-120" windowWidth="19420" windowHeight="11020" tabRatio="918"/>
  </bookViews>
  <sheets>
    <sheet name="Journals" sheetId="18" r:id="rId1"/>
    <sheet name="Clinical Trials" sheetId="6" r:id="rId2"/>
    <sheet name="Congresses" sheetId="17" r:id="rId3"/>
    <sheet name="Guidelines" sheetId="5" r:id="rId4"/>
    <sheet name="Patient Organisations" sheetId="2" r:id="rId5"/>
    <sheet name="Professional Organisations" sheetId="3" r:id="rId6"/>
    <sheet name="Payor Drug Evaluation Groups" sheetId="8" r:id="rId7"/>
    <sheet name="Regulatory Agencies" sheetId="7" r:id="rId8"/>
    <sheet name="Health Innovation Network" sheetId="22" r:id="rId9"/>
    <sheet name="Health Boards" sheetId="23" r:id="rId10"/>
    <sheet name="Publications" sheetId="27" r:id="rId11"/>
    <sheet name="ICSs" sheetId="28" r:id="rId12"/>
    <sheet name="Center of Excellence" sheetId="29" r:id="rId13"/>
    <sheet name="Private Clinics" sheetId="30" r:id="rId14"/>
  </sheets>
  <definedNames>
    <definedName name="_xlnm._FilterDatabase" localSheetId="12" hidden="1">'Center of Excellence'!$A$4:$H$4</definedName>
    <definedName name="_xlnm._FilterDatabase" localSheetId="1" hidden="1">'Clinical Trials'!$A$4:$G$4</definedName>
    <definedName name="_xlnm._FilterDatabase" localSheetId="2" hidden="1">Congresses!$A$4:$H$4</definedName>
    <definedName name="_xlnm._FilterDatabase" localSheetId="3" hidden="1">Guidelines!$A$4:$I$4</definedName>
    <definedName name="_xlnm._FilterDatabase" localSheetId="9" hidden="1">'Health Boards'!$A$4:$H$37</definedName>
    <definedName name="_xlnm._FilterDatabase" localSheetId="8" hidden="1">'Health Innovation Network'!$A$4:$H$4</definedName>
    <definedName name="_xlnm._FilterDatabase" localSheetId="11" hidden="1">ICSs!$A$1:$D$43</definedName>
    <definedName name="_xlnm._FilterDatabase" localSheetId="0" hidden="1">Journals!$A$4:$F$4</definedName>
    <definedName name="_xlnm._FilterDatabase" localSheetId="4" hidden="1">'Patient Organisations'!$A$4:$H$4</definedName>
    <definedName name="_xlnm._FilterDatabase" localSheetId="6" hidden="1">'Payor Drug Evaluation Groups'!$A$4:$H$4</definedName>
    <definedName name="_xlnm._FilterDatabase" localSheetId="13" hidden="1">'Private Clinics'!$A$4:$H$4</definedName>
    <definedName name="_xlnm._FilterDatabase" localSheetId="5" hidden="1">'Professional Organisations'!$A$4:$H$4</definedName>
    <definedName name="_xlnm._FilterDatabase" localSheetId="10" hidden="1">Publications!$A$6:$F$6</definedName>
    <definedName name="_xlnm._FilterDatabase" localSheetId="7" hidden="1">'Regulatory Agencies'!$A$4:$H$32</definedName>
    <definedName name="Z_2D811C32_FD73_4975_B2DF_EE3D43CC76F3_.wvu.FilterData" localSheetId="1" hidden="1">'Clinical Trials'!$A$1:$G$37</definedName>
  </definedNames>
  <calcPr calcId="145621"/>
  <customWorkbookViews>
    <customWorkbookView name="Filter 1" guid="{2D811C32-FD73-4975-B2DF-EE3D43CC76F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5" i="17" l="1"/>
  <c r="B109" i="30"/>
  <c r="B75" i="17"/>
  <c r="B9" i="3"/>
  <c r="B25" i="18"/>
  <c r="B39" i="3" l="1"/>
  <c r="B10" i="30" l="1"/>
  <c r="B250" i="30"/>
  <c r="B187" i="30"/>
  <c r="B191" i="30"/>
  <c r="B15" i="30"/>
  <c r="B185" i="30"/>
  <c r="B50" i="30"/>
  <c r="B252" i="30"/>
  <c r="B192" i="30"/>
  <c r="B11" i="30"/>
  <c r="B12" i="30"/>
  <c r="B186" i="30"/>
  <c r="B255" i="30"/>
  <c r="B247" i="30"/>
  <c r="B174" i="30"/>
  <c r="B14" i="30"/>
  <c r="B277" i="30"/>
  <c r="B276" i="30"/>
  <c r="B275" i="30"/>
  <c r="B274" i="30"/>
  <c r="B273" i="30"/>
  <c r="B272" i="30"/>
  <c r="B271" i="30"/>
  <c r="B270" i="30"/>
  <c r="B269" i="30"/>
  <c r="B268" i="30"/>
  <c r="B267" i="30"/>
  <c r="B266" i="30"/>
  <c r="B265" i="30"/>
  <c r="B264" i="30"/>
  <c r="B263" i="30"/>
  <c r="B262" i="30"/>
  <c r="B261" i="30"/>
  <c r="B260" i="30"/>
  <c r="B259" i="30"/>
  <c r="B258" i="30"/>
  <c r="B305" i="30"/>
  <c r="B304" i="30"/>
  <c r="B303" i="30"/>
  <c r="B302" i="30"/>
  <c r="B301" i="30"/>
  <c r="B300" i="30"/>
  <c r="B299" i="30"/>
  <c r="B298" i="30"/>
  <c r="B297" i="30"/>
  <c r="B296" i="30"/>
  <c r="B295" i="30"/>
  <c r="B294" i="30"/>
  <c r="B293" i="30"/>
  <c r="B292" i="30"/>
  <c r="B291" i="30"/>
  <c r="B290" i="30"/>
  <c r="B289" i="30"/>
  <c r="B288" i="30"/>
  <c r="B287" i="30"/>
  <c r="B286" i="30"/>
  <c r="B285" i="30"/>
  <c r="B284" i="30"/>
  <c r="B283" i="30"/>
  <c r="B282" i="30"/>
  <c r="B281" i="30"/>
  <c r="B280" i="30"/>
  <c r="B279" i="30"/>
  <c r="B278" i="30"/>
  <c r="B257" i="30"/>
  <c r="B256" i="30"/>
  <c r="B254" i="30"/>
  <c r="B253" i="30"/>
  <c r="B251" i="30"/>
  <c r="B249" i="30"/>
  <c r="B248" i="30"/>
  <c r="B246" i="30"/>
  <c r="B245" i="30"/>
  <c r="B244" i="30"/>
  <c r="B243" i="30"/>
  <c r="B242" i="30"/>
  <c r="B241" i="30"/>
  <c r="B240" i="30"/>
  <c r="B239" i="30"/>
  <c r="B238" i="30"/>
  <c r="B237" i="30"/>
  <c r="B236" i="30"/>
  <c r="B235" i="30"/>
  <c r="B234" i="30"/>
  <c r="B233" i="30"/>
  <c r="B232" i="30"/>
  <c r="B231" i="30"/>
  <c r="B230" i="30"/>
  <c r="B229" i="30"/>
  <c r="B228" i="30"/>
  <c r="B227" i="30"/>
  <c r="B226" i="30"/>
  <c r="B225" i="30"/>
  <c r="B224" i="30"/>
  <c r="B223" i="30"/>
  <c r="B222" i="30"/>
  <c r="B221" i="30"/>
  <c r="B220" i="30"/>
  <c r="B219" i="30"/>
  <c r="B218" i="30"/>
  <c r="B217" i="30"/>
  <c r="B216" i="30"/>
  <c r="B215" i="30"/>
  <c r="B214" i="30"/>
  <c r="B213" i="30"/>
  <c r="B212" i="30"/>
  <c r="B211" i="30"/>
  <c r="B210" i="30"/>
  <c r="B209" i="30"/>
  <c r="B208" i="30"/>
  <c r="B207" i="30"/>
  <c r="B206" i="30"/>
  <c r="B205" i="30"/>
  <c r="B204" i="30"/>
  <c r="B203" i="30"/>
  <c r="B202" i="30"/>
  <c r="B201" i="30"/>
  <c r="B200" i="30"/>
  <c r="B199" i="30"/>
  <c r="B198" i="30"/>
  <c r="B197" i="30"/>
  <c r="B196" i="30"/>
  <c r="B195" i="30"/>
  <c r="B194" i="30"/>
  <c r="B193" i="30"/>
  <c r="B190" i="30"/>
  <c r="B189" i="30"/>
  <c r="B188" i="30"/>
  <c r="B184" i="30"/>
  <c r="B183" i="30"/>
  <c r="B182" i="30"/>
  <c r="B181" i="30"/>
  <c r="B180" i="30"/>
  <c r="B179" i="30"/>
  <c r="B178" i="30"/>
  <c r="B177" i="30"/>
  <c r="B176" i="30"/>
  <c r="B175" i="30"/>
  <c r="B173" i="30"/>
  <c r="B172" i="30"/>
  <c r="B171" i="30"/>
  <c r="B170" i="30"/>
  <c r="B169" i="30"/>
  <c r="B168" i="30"/>
  <c r="B167" i="30"/>
  <c r="B166" i="30"/>
  <c r="B165" i="30"/>
  <c r="B164" i="30"/>
  <c r="B163" i="30"/>
  <c r="B162" i="30"/>
  <c r="B161" i="30"/>
  <c r="B160" i="30"/>
  <c r="B159" i="30"/>
  <c r="B158" i="30"/>
  <c r="B157" i="30"/>
  <c r="B156" i="30"/>
  <c r="B155" i="30"/>
  <c r="B154" i="30"/>
  <c r="B153" i="30"/>
  <c r="B152" i="30"/>
  <c r="B151" i="30"/>
  <c r="B150" i="30"/>
  <c r="B149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B133" i="30"/>
  <c r="B132" i="30"/>
  <c r="B131" i="30"/>
  <c r="B130" i="30"/>
  <c r="B129" i="30"/>
  <c r="B128" i="30"/>
  <c r="B127" i="30"/>
  <c r="B126" i="30"/>
  <c r="B125" i="30"/>
  <c r="B124" i="30"/>
  <c r="B123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B110" i="30"/>
  <c r="B108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3" i="30"/>
  <c r="B9" i="30"/>
  <c r="B8" i="30"/>
  <c r="B7" i="30"/>
  <c r="B6" i="30"/>
  <c r="B5" i="30"/>
  <c r="B11" i="29"/>
  <c r="B10" i="29"/>
  <c r="B9" i="29"/>
  <c r="B8" i="29"/>
  <c r="B7" i="29"/>
  <c r="B6" i="29"/>
  <c r="B5" i="29"/>
  <c r="B41" i="3" l="1"/>
  <c r="B57" i="3"/>
  <c r="B52" i="3"/>
  <c r="B35" i="3"/>
  <c r="B37" i="3"/>
  <c r="B51" i="3"/>
  <c r="B60" i="3"/>
  <c r="B17" i="2"/>
  <c r="B18" i="2"/>
  <c r="B19" i="2"/>
  <c r="B137" i="6" l="1"/>
  <c r="B49" i="3" l="1"/>
  <c r="B29" i="3"/>
  <c r="B18" i="3"/>
  <c r="B6" i="2"/>
  <c r="B23" i="2"/>
  <c r="B16" i="2"/>
  <c r="B16" i="5"/>
  <c r="B18" i="5"/>
  <c r="B17" i="5"/>
  <c r="B12" i="5"/>
  <c r="B14" i="5"/>
  <c r="B22" i="5"/>
  <c r="B118" i="17"/>
  <c r="B117" i="17"/>
  <c r="B116" i="17"/>
  <c r="B115" i="17"/>
  <c r="B70" i="17"/>
  <c r="B69" i="17"/>
  <c r="B68" i="17"/>
  <c r="B67" i="17"/>
  <c r="B66" i="17"/>
  <c r="B31" i="17"/>
  <c r="B112" i="6" l="1"/>
  <c r="B37" i="6"/>
  <c r="B135" i="6"/>
  <c r="B136" i="6"/>
  <c r="B133" i="6"/>
  <c r="B130" i="6"/>
  <c r="B125" i="6"/>
  <c r="B110" i="6"/>
  <c r="B104" i="6"/>
  <c r="B101" i="6"/>
  <c r="B78" i="6"/>
  <c r="B77" i="6"/>
  <c r="B76" i="6"/>
  <c r="B73" i="6"/>
  <c r="B66" i="6"/>
  <c r="B57" i="6"/>
  <c r="B56" i="6"/>
  <c r="B41" i="6"/>
  <c r="B33" i="6"/>
  <c r="B23" i="6"/>
  <c r="B16" i="6"/>
  <c r="B97" i="6"/>
  <c r="B54" i="18"/>
  <c r="B52" i="18"/>
  <c r="B40" i="18"/>
  <c r="B43" i="18" l="1"/>
  <c r="B62" i="6"/>
  <c r="B52" i="6"/>
  <c r="B51" i="6"/>
  <c r="B48" i="6"/>
  <c r="B40" i="6"/>
  <c r="B39" i="6"/>
  <c r="B36" i="6"/>
  <c r="B32" i="6"/>
  <c r="B29" i="6"/>
  <c r="B27" i="6"/>
  <c r="B17" i="6"/>
  <c r="B5" i="6"/>
  <c r="B6" i="6"/>
  <c r="B7" i="6"/>
  <c r="B8" i="6"/>
  <c r="B9" i="6"/>
  <c r="B10" i="6"/>
  <c r="B11" i="6"/>
  <c r="B12" i="6"/>
  <c r="B13" i="6"/>
  <c r="B14" i="6"/>
  <c r="B15" i="6"/>
  <c r="B18" i="6"/>
  <c r="B19" i="6"/>
  <c r="B20" i="6"/>
  <c r="B21" i="6"/>
  <c r="B22" i="6"/>
  <c r="B24" i="6"/>
  <c r="B25" i="6"/>
  <c r="B26" i="6"/>
  <c r="B28" i="6"/>
  <c r="B30" i="6"/>
  <c r="B31" i="6"/>
  <c r="B34" i="6"/>
  <c r="B35" i="6"/>
  <c r="B38" i="6"/>
  <c r="B42" i="6"/>
  <c r="B43" i="6"/>
  <c r="B44" i="6"/>
  <c r="B45" i="6"/>
  <c r="B46" i="6"/>
  <c r="B47" i="6"/>
  <c r="B49" i="6"/>
  <c r="B50" i="6"/>
  <c r="B53" i="6"/>
  <c r="B54" i="6"/>
  <c r="B55" i="6"/>
  <c r="B58" i="6"/>
  <c r="B59" i="6"/>
  <c r="B60" i="6"/>
  <c r="B61" i="6"/>
  <c r="B63" i="6"/>
  <c r="B64" i="6"/>
  <c r="B65" i="6"/>
  <c r="B67" i="6"/>
  <c r="B68" i="6"/>
  <c r="B69" i="6"/>
  <c r="B70" i="6"/>
  <c r="B71" i="6"/>
  <c r="B72" i="6"/>
  <c r="B74" i="6"/>
  <c r="B75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8" i="6"/>
  <c r="B99" i="6"/>
  <c r="B100" i="6"/>
  <c r="B102" i="6"/>
  <c r="B103" i="6"/>
  <c r="B105" i="6"/>
  <c r="B106" i="6"/>
  <c r="B107" i="6"/>
  <c r="B108" i="6"/>
  <c r="B109" i="6"/>
  <c r="B111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6" i="6"/>
  <c r="B127" i="6"/>
  <c r="B128" i="6"/>
  <c r="B129" i="6"/>
  <c r="B131" i="6"/>
  <c r="B132" i="6"/>
  <c r="B134" i="6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5" i="3"/>
  <c r="B6" i="3"/>
  <c r="B7" i="3"/>
  <c r="B8" i="3"/>
  <c r="B10" i="3"/>
  <c r="B11" i="3"/>
  <c r="B12" i="3"/>
  <c r="B13" i="3"/>
  <c r="B14" i="3"/>
  <c r="B15" i="3"/>
  <c r="B16" i="3"/>
  <c r="B17" i="3"/>
  <c r="B19" i="3"/>
  <c r="B20" i="3"/>
  <c r="B21" i="3"/>
  <c r="B22" i="3"/>
  <c r="B23" i="3"/>
  <c r="B24" i="3"/>
  <c r="B25" i="3"/>
  <c r="B26" i="3"/>
  <c r="B27" i="3"/>
  <c r="B28" i="3"/>
  <c r="B30" i="3"/>
  <c r="B31" i="3"/>
  <c r="B32" i="3"/>
  <c r="B33" i="3"/>
  <c r="B34" i="3"/>
  <c r="B36" i="3"/>
  <c r="B38" i="3"/>
  <c r="B40" i="3"/>
  <c r="B42" i="3"/>
  <c r="B43" i="3"/>
  <c r="B44" i="3"/>
  <c r="B45" i="3"/>
  <c r="B46" i="3"/>
  <c r="B47" i="3"/>
  <c r="B48" i="3"/>
  <c r="B50" i="3"/>
  <c r="B53" i="3"/>
  <c r="B54" i="3"/>
  <c r="B55" i="3"/>
  <c r="B56" i="3"/>
  <c r="B58" i="3"/>
  <c r="B59" i="3"/>
  <c r="B5" i="2"/>
  <c r="B7" i="2"/>
  <c r="B8" i="2"/>
  <c r="B9" i="2"/>
  <c r="B10" i="2"/>
  <c r="B11" i="2"/>
  <c r="B12" i="2"/>
  <c r="B13" i="2"/>
  <c r="B14" i="2"/>
  <c r="B15" i="2"/>
  <c r="B20" i="2"/>
  <c r="B21" i="2"/>
  <c r="B22" i="2"/>
  <c r="B24" i="2"/>
  <c r="B25" i="2"/>
  <c r="B26" i="2"/>
  <c r="B5" i="5"/>
  <c r="B6" i="5"/>
  <c r="B7" i="5"/>
  <c r="B8" i="5"/>
  <c r="B10" i="5"/>
  <c r="B11" i="5"/>
  <c r="B13" i="5"/>
  <c r="B15" i="5"/>
  <c r="B19" i="5"/>
  <c r="B20" i="5"/>
  <c r="B21" i="5"/>
  <c r="B23" i="5"/>
  <c r="B24" i="5"/>
  <c r="B25" i="5"/>
  <c r="B26" i="5"/>
  <c r="B9" i="5"/>
  <c r="B96" i="17"/>
  <c r="B97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8" i="17"/>
  <c r="B29" i="17"/>
  <c r="B30" i="17"/>
  <c r="B32" i="17"/>
  <c r="B33" i="17"/>
  <c r="B34" i="17"/>
  <c r="B35" i="17"/>
  <c r="B36" i="17"/>
  <c r="B37" i="17"/>
  <c r="B38" i="17"/>
  <c r="B39" i="17"/>
  <c r="B40" i="17"/>
  <c r="B27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71" i="17"/>
  <c r="B72" i="17"/>
  <c r="B73" i="17"/>
  <c r="B74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8" i="17"/>
  <c r="B99" i="17"/>
  <c r="B100" i="17"/>
  <c r="B101" i="17"/>
  <c r="B102" i="17"/>
  <c r="B103" i="17"/>
  <c r="B104" i="17"/>
  <c r="B106" i="17"/>
  <c r="B107" i="17"/>
  <c r="B108" i="17"/>
  <c r="B109" i="17"/>
  <c r="B110" i="17"/>
  <c r="B111" i="17"/>
  <c r="B112" i="17"/>
  <c r="B113" i="17"/>
  <c r="B114" i="17"/>
  <c r="B5" i="7" l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1" i="18"/>
  <c r="B42" i="18"/>
  <c r="B44" i="18"/>
  <c r="B45" i="18"/>
  <c r="B46" i="18"/>
  <c r="B47" i="18"/>
  <c r="B48" i="18"/>
  <c r="B49" i="18"/>
  <c r="B50" i="18"/>
  <c r="B51" i="18"/>
  <c r="B53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6" i="18"/>
  <c r="B5" i="18"/>
  <c r="B43" i="28" l="1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</calcChain>
</file>

<file path=xl/sharedStrings.xml><?xml version="1.0" encoding="utf-8"?>
<sst xmlns="http://schemas.openxmlformats.org/spreadsheetml/2006/main" count="4233" uniqueCount="1340">
  <si>
    <t xml:space="preserve">KOL Identification: Outline of Desk Research </t>
  </si>
  <si>
    <t xml:space="preserve">Information to be considered for inclusion: please complete the ‘comments’ column
Please also add any additional elements that you would like to be included within the research that is not listed below. 
</t>
  </si>
  <si>
    <t>S.No</t>
  </si>
  <si>
    <t>Comments</t>
  </si>
  <si>
    <t>KOL Identification: Outline of Desk Research</t>
  </si>
  <si>
    <t>Congress</t>
  </si>
  <si>
    <t>Organisation</t>
  </si>
  <si>
    <t>Information to be considered for inclusion: please complete the ‘comments’ column
Please also add any additional elements that you would like to be included within the research that is not listed below.</t>
  </si>
  <si>
    <t>Guideline</t>
  </si>
  <si>
    <t>Therapeutic area</t>
  </si>
  <si>
    <t>Information to be considered for inclusion: please complete the ‘importance to team’ column
Please also add any additional elements that you would like to be included within the research that is not listed below.</t>
  </si>
  <si>
    <t>We will use the following terms to perform searches in the PubMed database to gather an initial list of KOLs. A list will be supplied showing the total number of publications for each individual identified from the searches.</t>
  </si>
  <si>
    <t>Disease</t>
  </si>
  <si>
    <t>Journal</t>
  </si>
  <si>
    <t>S_No</t>
  </si>
  <si>
    <t>Impact_Factor</t>
  </si>
  <si>
    <t>Reference_Link</t>
  </si>
  <si>
    <t>Study_Title</t>
  </si>
  <si>
    <t>Trial_Code</t>
  </si>
  <si>
    <t>Activity_Region</t>
  </si>
  <si>
    <t>Activity_Country</t>
  </si>
  <si>
    <t>Patient_Organisation</t>
  </si>
  <si>
    <t>Professional_Organisation</t>
  </si>
  <si>
    <t>Payor_Drug_Evaluation_Group</t>
  </si>
  <si>
    <t>Regulatory_Agency</t>
  </si>
  <si>
    <t>Health_Board</t>
  </si>
  <si>
    <t>List of Keyterms AND Synonyms (Drug)</t>
  </si>
  <si>
    <t>List of Keyterms AND Synonyms (Health Economics)</t>
  </si>
  <si>
    <t>List of Keyterms AND Synonyms (Drug Class)</t>
  </si>
  <si>
    <t>Registered_Country_and_Headquarters</t>
  </si>
  <si>
    <t>International</t>
  </si>
  <si>
    <t>National</t>
  </si>
  <si>
    <t>England</t>
  </si>
  <si>
    <t>Scotland</t>
  </si>
  <si>
    <t>National Institute for Health and Care Excellence</t>
  </si>
  <si>
    <t>United Kingdom</t>
  </si>
  <si>
    <t>Regional</t>
  </si>
  <si>
    <t>Europe</t>
  </si>
  <si>
    <t>https://www.nejm.org/about-nejm/editors-and-publishers</t>
  </si>
  <si>
    <t>https://www.thelancet.com/lancet-people</t>
  </si>
  <si>
    <t>https://www.nature.com/nature/about/editors</t>
  </si>
  <si>
    <t>https://www.cell.com/cell/editorial-board</t>
  </si>
  <si>
    <t>http://www.bmj.com/about-bmj</t>
  </si>
  <si>
    <t>https://www.nature.com/cr/about/editorial-board</t>
  </si>
  <si>
    <t>https://onlinelibrary.wiley.com/page/journal/1469185x/homepage/editorialboard.html</t>
  </si>
  <si>
    <t>https://journals.plos.org/plosmedicine/s/editorial-board</t>
  </si>
  <si>
    <t>https://www.embopress.org/page/journal/14602075/editors</t>
  </si>
  <si>
    <t>https://jamanetwork.com/journals/jama</t>
  </si>
  <si>
    <t>https://www.who.int/</t>
  </si>
  <si>
    <t>http://ecdc.europa.eu/en/Pages/home.aspx</t>
  </si>
  <si>
    <t>https://www.ema.europa.eu/en/committees/committee-medicinal-products-human-use-chmp</t>
  </si>
  <si>
    <t>https://www.edqm.eu/en/</t>
  </si>
  <si>
    <t>http://www.hma.eu/</t>
  </si>
  <si>
    <t>http://www.ema.europa.eu/</t>
  </si>
  <si>
    <t>http://www.psni.org.uk/</t>
  </si>
  <si>
    <t>https://www.publichealth.hscni.net/</t>
  </si>
  <si>
    <t>https://www.pharmacopoeia.com/</t>
  </si>
  <si>
    <t>http://www.pharmacyregulation.org/</t>
  </si>
  <si>
    <t>https://www.gettingitrightfirsttime.co.uk/</t>
  </si>
  <si>
    <t>https://www.nhsbsa.nhs.uk/nhs-prescription-services</t>
  </si>
  <si>
    <t>https://www.nihr.ac.uk/explore-nihr/funding-programmes/health-technology-assessment.htm</t>
  </si>
  <si>
    <t>http://www.wales.nhs.uk/sitesplus/956/home</t>
  </si>
  <si>
    <t>https://phw.nhs.wales/</t>
  </si>
  <si>
    <t>Switzerland</t>
  </si>
  <si>
    <t>Sweden</t>
  </si>
  <si>
    <t>Belgium</t>
  </si>
  <si>
    <t>France</t>
  </si>
  <si>
    <t>The Netherlands</t>
  </si>
  <si>
    <t>Northern Ireland</t>
  </si>
  <si>
    <t>Wales</t>
  </si>
  <si>
    <t>http://www.healthcareimprovementscotland.org/</t>
  </si>
  <si>
    <t>http://www.scottishmedicines.org.uk/</t>
  </si>
  <si>
    <t>http://centreformedicinesoptimisation.co.uk/contact/</t>
  </si>
  <si>
    <t>http://www.york.ac.uk/inst/crd/</t>
  </si>
  <si>
    <t>http://gmmmg.nhs.uk/</t>
  </si>
  <si>
    <t>http://ccg.centreformedicinesoptimisation.co.uk/mtrac/</t>
  </si>
  <si>
    <t>https://www.nice.org.uk/</t>
  </si>
  <si>
    <t>https://www.nihr.ac.uk/</t>
  </si>
  <si>
    <t>http://ntag.nhs.uk/</t>
  </si>
  <si>
    <t>https://www.ndph.ox.ac.uk/</t>
  </si>
  <si>
    <t>http://rdtc.nhs.uk/</t>
  </si>
  <si>
    <t>https://healthinnovationmanchester.com/</t>
  </si>
  <si>
    <t>https://healthinnovationnetwork.com/</t>
  </si>
  <si>
    <t>https://imperialcollegehealthpartners.com/</t>
  </si>
  <si>
    <t>https://uclpartners.com/</t>
  </si>
  <si>
    <t>https://belfasttrust.hscni.net/</t>
  </si>
  <si>
    <t>https://niformulary.hscni.net/about-us/prescribing-guidance-editorial-group-meeting-dates/</t>
  </si>
  <si>
    <t>https://www.northerntrust.hscni.net/</t>
  </si>
  <si>
    <t>http://www.setrust.hscni.net/</t>
  </si>
  <si>
    <t>https://southerntrust.hscni.net/</t>
  </si>
  <si>
    <t>https://westerntrust.hscni.net/</t>
  </si>
  <si>
    <t>http://www.nhsaaa.net/</t>
  </si>
  <si>
    <t>http://www.nhsborders.scot.nhs.uk/patients-and-visitors/</t>
  </si>
  <si>
    <t>https://www.nhsdg.co.uk/</t>
  </si>
  <si>
    <t>http://www.nhsfife.org</t>
  </si>
  <si>
    <t>http://www.nhsforthvalley.com</t>
  </si>
  <si>
    <t>http://www.nhsgrampian.co.uk</t>
  </si>
  <si>
    <t>http://www.nhsggc.org.uk/</t>
  </si>
  <si>
    <t>http://www.nhshighland.scot.nhs.uk</t>
  </si>
  <si>
    <t>http://www.nhslanarkshire.org.uk</t>
  </si>
  <si>
    <t>http://www.nhslothian.scot.nhs.uk</t>
  </si>
  <si>
    <t>http://www.ohb.scot.nhs.uk</t>
  </si>
  <si>
    <t>http://www.shb.scot.nhs.uk</t>
  </si>
  <si>
    <t>http://www.nhstayside.scot.nhs.uk</t>
  </si>
  <si>
    <t>http://www.wihb.scot.nhs.uk</t>
  </si>
  <si>
    <t>https://ctmuhb.nhs.wales/</t>
  </si>
  <si>
    <t>Budget Impact</t>
  </si>
  <si>
    <t>Clinical Outcomes</t>
  </si>
  <si>
    <t>Cost-Effectiveness</t>
  </si>
  <si>
    <t>Economic Analysis</t>
  </si>
  <si>
    <t>Economic Evaluation</t>
  </si>
  <si>
    <t>Economic Impact</t>
  </si>
  <si>
    <t>Epidemiology</t>
  </si>
  <si>
    <t>Health Economics</t>
  </si>
  <si>
    <t>Health Policy Analysis</t>
  </si>
  <si>
    <t>Health Technology Assessment</t>
  </si>
  <si>
    <t>Health-Related Quality of Life</t>
  </si>
  <si>
    <t>Incremental Cost Effectiveness Ratio</t>
  </si>
  <si>
    <t>Market Access</t>
  </si>
  <si>
    <t>Medicine Management</t>
  </si>
  <si>
    <t>Outcome Measure</t>
  </si>
  <si>
    <t>Outcome Research</t>
  </si>
  <si>
    <t>Patient-Reported Outcome</t>
  </si>
  <si>
    <t>Pharmacoeconomic</t>
  </si>
  <si>
    <t>Pharmacoepidemiology</t>
  </si>
  <si>
    <t>Quality of Care</t>
  </si>
  <si>
    <t>Quality-Adjusted Life Year</t>
  </si>
  <si>
    <t>Reimbursement</t>
  </si>
  <si>
    <t>Methotrexate</t>
  </si>
  <si>
    <t>Australia</t>
  </si>
  <si>
    <t>United States of America</t>
  </si>
  <si>
    <t>Canada</t>
  </si>
  <si>
    <t>Austria</t>
  </si>
  <si>
    <t>https://patient.info/</t>
  </si>
  <si>
    <t>Royal College of Physicians</t>
  </si>
  <si>
    <t>Conference Series LLC</t>
  </si>
  <si>
    <t>https://www.science.org/journal/science</t>
  </si>
  <si>
    <t>Ireland</t>
  </si>
  <si>
    <t>https://www.gov.uk/government/organisations/uk-health-security-agency</t>
  </si>
  <si>
    <t>https://www.gov.uk/government/organisations/office-for-health-improvement-and-disparities</t>
  </si>
  <si>
    <t>https://www.england.nhs.uk/medicines-2/commercial-medicines/commercial-medicines-unit/</t>
  </si>
  <si>
    <t>Dermatitis</t>
  </si>
  <si>
    <t>https://jamanetwork.com/journals/jamadermatology</t>
  </si>
  <si>
    <t>https://academic.oup.com/bjd</t>
  </si>
  <si>
    <t>https://www.jidonline.org/</t>
  </si>
  <si>
    <t>https://onlinelibrary.wiley.com/page/journal/14683083/homepage/editorialboard.html</t>
  </si>
  <si>
    <t>https://www.karger.com/journal/home/224164</t>
  </si>
  <si>
    <t>https://home.liebertpub.com/publications/dermatitis/672/overview</t>
  </si>
  <si>
    <t>https://www.springer.com/journal/11</t>
  </si>
  <si>
    <t>https://www.journals.elsevier.com/journal-of-dermatological-science</t>
  </si>
  <si>
    <t>https://medicaljournalssweden.se/actadv</t>
  </si>
  <si>
    <t>https://onlinelibrary.wiley.com/journal/13468138</t>
  </si>
  <si>
    <t>https://www.hilarispublisher.com/dermatology-dermatologic-diseases.html</t>
  </si>
  <si>
    <t>https://onlinelibrary.wiley.com/journal/16000625</t>
  </si>
  <si>
    <t>https://www.journals.elsevier.com/clinics-in-dermatology</t>
  </si>
  <si>
    <t>https://www.karger.com/Journal/Home/224194</t>
  </si>
  <si>
    <t>https://onlinelibrary.wiley.com/journal/2690442x</t>
  </si>
  <si>
    <t>https://www.tandfonline.com/loi/ijdt20</t>
  </si>
  <si>
    <t>https://www.jle.com/en/revues/ejd/revue.phtml</t>
  </si>
  <si>
    <t>https://www.springer.com/journal/13555</t>
  </si>
  <si>
    <t>https://www.derm.theclinics.com/</t>
  </si>
  <si>
    <t>https://www.springer.com/journal/403</t>
  </si>
  <si>
    <t>https://www.hindawi.com/journals/drp/</t>
  </si>
  <si>
    <t>https://onlinelibrary.wiley.com/journal/16000846</t>
  </si>
  <si>
    <t>https://www.journals.elsevier.com/journal-of-investigative-dermatology-symposium-proceedings/editorial-board</t>
  </si>
  <si>
    <t>https://www.termedia.pl/Journal/Advances_in_Dermatology_and_Allergology-7</t>
  </si>
  <si>
    <t>https://jddonline.com/</t>
  </si>
  <si>
    <t>https://onlinelibrary.wiley.com/page/journal/13654632/homepage/editorialboard.html</t>
  </si>
  <si>
    <t>https://www.walshmedicalmedia.com/dermatitis.html</t>
  </si>
  <si>
    <t>https://www.springer.com/journal/13671</t>
  </si>
  <si>
    <t>https://www.karger.com/Journal/Home/239060</t>
  </si>
  <si>
    <t>https://escholarship.org/uc/doj</t>
  </si>
  <si>
    <t>https://www.alliedacademies.org/research-in-clinical-dermatology/</t>
  </si>
  <si>
    <t>https://www.scitechnol.com/clinical-dermatology-research-journal.php</t>
  </si>
  <si>
    <t>https://www.sciencedirect.com/journal/piel</t>
  </si>
  <si>
    <t>https://www.hindawi.com/journals/cridm/</t>
  </si>
  <si>
    <t>https://www.mdpi.com/journal/dermato</t>
  </si>
  <si>
    <t>https://onlinelibrary.wiley.com/journal/26377489</t>
  </si>
  <si>
    <t>https://scholars.direct/journal.php?jid=dermatology</t>
  </si>
  <si>
    <t>https://www.iomcworld.com/dermatology-case-reports.html</t>
  </si>
  <si>
    <t>https://www.scitcentral.com/journals/19</t>
  </si>
  <si>
    <t>http://www.dermatologyinpractice.co.uk/</t>
  </si>
  <si>
    <t>https://dpcj.org/index.php/dpc</t>
  </si>
  <si>
    <t>https://www.tandfonline.com/toc/ierg20/current</t>
  </si>
  <si>
    <t>https://www.longdom.org/clinical-experimental-dermatology-research.html</t>
  </si>
  <si>
    <t>https://skin-diseases-and-skin-care.imedpub.com/</t>
  </si>
  <si>
    <t>https://skinmedjournal.com/</t>
  </si>
  <si>
    <t>https://www.springer.com/journal/105</t>
  </si>
  <si>
    <t>https://www.wjgnet.com/2218-6190</t>
  </si>
  <si>
    <t>https://www.acta-apa.org/journals/acta-dermatovenerol-apa/static_pages/1</t>
  </si>
  <si>
    <t>http://journalseek.net/cgi-bin/journalseek/journalsearch.cgi?field=issn&amp;query=1368-549X</t>
  </si>
  <si>
    <t>https://journals.lww.com/dermatologicsurgery/Pages/aboutthejournal.aspx</t>
  </si>
  <si>
    <t>https://journals.lww.com/ijwd/pages/aboutthejournal.aspx</t>
  </si>
  <si>
    <t>http://www.dermsinica.org/aboutus.asp</t>
  </si>
  <si>
    <t>https://onlinelibrary.wiley.com/journal/16000560</t>
  </si>
  <si>
    <t>https://www.jidinnovations.org/</t>
  </si>
  <si>
    <t>Condition/Intervention</t>
  </si>
  <si>
    <t>Atopic Dermatitis</t>
  </si>
  <si>
    <t>NCT04195698</t>
  </si>
  <si>
    <t>https://ClinicalTrials.gov/show/NCT04195698</t>
  </si>
  <si>
    <t>Eczema</t>
  </si>
  <si>
    <t>NCT05131477</t>
  </si>
  <si>
    <t>https://ClinicalTrials.gov/show/NCT05131477</t>
  </si>
  <si>
    <t>NCT03738397</t>
  </si>
  <si>
    <t>https://ClinicalTrials.gov/show/NCT03738397</t>
  </si>
  <si>
    <t>NCT03809663</t>
  </si>
  <si>
    <t>https://ClinicalTrials.gov/show/NCT03809663</t>
  </si>
  <si>
    <t>Moderate to Severe Atopic Dermatitis</t>
  </si>
  <si>
    <t>NCT03985943</t>
  </si>
  <si>
    <t>https://ClinicalTrials.gov/show/NCT03985943</t>
  </si>
  <si>
    <t>NCT03989206</t>
  </si>
  <si>
    <t>https://ClinicalTrials.gov/show/NCT03989206</t>
  </si>
  <si>
    <t>Dermatitis, Atopic</t>
  </si>
  <si>
    <t>NCT03948334</t>
  </si>
  <si>
    <t>https://ClinicalTrials.gov/show/NCT03948334</t>
  </si>
  <si>
    <t>NCT03796676</t>
  </si>
  <si>
    <t>https://ClinicalTrials.gov/show/NCT03796676</t>
  </si>
  <si>
    <t>NCT04212169</t>
  </si>
  <si>
    <t>https://ClinicalTrials.gov/show/NCT04212169</t>
  </si>
  <si>
    <t>NCT04033367</t>
  </si>
  <si>
    <t>https://ClinicalTrials.gov/show/NCT04033367</t>
  </si>
  <si>
    <t>NCT05149313</t>
  </si>
  <si>
    <t>https://ClinicalTrials.gov/show/NCT05149313</t>
  </si>
  <si>
    <t>Atopic Eczema</t>
  </si>
  <si>
    <t>Atopic Dermatitis Eczema</t>
  </si>
  <si>
    <t>Atopic Eczema/Dermatitis (Non-Specific)</t>
  </si>
  <si>
    <t>NCT04194814</t>
  </si>
  <si>
    <t>https://ClinicalTrials.gov/show/NCT04194814</t>
  </si>
  <si>
    <t>NCT04295824</t>
  </si>
  <si>
    <t>https://ClinicalTrials.gov/show/NCT04295824</t>
  </si>
  <si>
    <t>NCT03823794</t>
  </si>
  <si>
    <t>https://ClinicalTrials.gov/show/NCT03823794</t>
  </si>
  <si>
    <t>NCT04737304</t>
  </si>
  <si>
    <t>https://ClinicalTrials.gov/show/NCT04737304</t>
  </si>
  <si>
    <t>NCT03901144</t>
  </si>
  <si>
    <t>https://ClinicalTrials.gov/show/NCT03901144</t>
  </si>
  <si>
    <t>NCT03742414</t>
  </si>
  <si>
    <t>https://ClinicalTrials.gov/show/NCT03742414</t>
  </si>
  <si>
    <t>Dermatitis Atopic</t>
  </si>
  <si>
    <t>NCT04643457</t>
  </si>
  <si>
    <t>https://ClinicalTrials.gov/show/NCT04643457</t>
  </si>
  <si>
    <t>NCT03542994</t>
  </si>
  <si>
    <t>https://ClinicalTrials.gov/show/NCT03542994</t>
  </si>
  <si>
    <t>NCT04927195</t>
  </si>
  <si>
    <t>https://ClinicalTrials.gov/show/NCT04927195</t>
  </si>
  <si>
    <t>NCT03871998</t>
  </si>
  <si>
    <t>https://ClinicalTrials.gov/show/NCT03871998</t>
  </si>
  <si>
    <t>NCT04750161</t>
  </si>
  <si>
    <t>https://ClinicalTrials.gov/show/NCT04750161</t>
  </si>
  <si>
    <t>Neurodermatitis</t>
  </si>
  <si>
    <t>NCT04202679</t>
  </si>
  <si>
    <t>https://ClinicalTrials.gov/show/NCT04202679</t>
  </si>
  <si>
    <t>PMID: 32087126</t>
  </si>
  <si>
    <t>https://pubmed.ncbi.nlm.nih.gov/32087126</t>
  </si>
  <si>
    <t>PMID: 29906525</t>
  </si>
  <si>
    <t>https://pubmed.ncbi.nlm.nih.gov/29906525</t>
  </si>
  <si>
    <t>PMID: 33000503</t>
  </si>
  <si>
    <t>https://pubmed.ncbi.nlm.nih.gov/33000503</t>
  </si>
  <si>
    <t>PMID: 31160034</t>
  </si>
  <si>
    <t>https://pubmed.ncbi.nlm.nih.gov/31160034</t>
  </si>
  <si>
    <t>PMID: 31595499</t>
  </si>
  <si>
    <t>https://pubmed.ncbi.nlm.nih.gov/31595499</t>
  </si>
  <si>
    <t>PMID: 31876900</t>
  </si>
  <si>
    <t>https://pubmed.ncbi.nlm.nih.gov/31876900</t>
  </si>
  <si>
    <t>PMID: 31441980</t>
  </si>
  <si>
    <t>https://pubmed.ncbi.nlm.nih.gov/31441980</t>
  </si>
  <si>
    <t>PMID: 30550828</t>
  </si>
  <si>
    <t>https://pubmed.ncbi.nlm.nih.gov/30550828</t>
  </si>
  <si>
    <t>PMID: 31179791</t>
  </si>
  <si>
    <t>https://pubmed.ncbi.nlm.nih.gov/31179791</t>
  </si>
  <si>
    <t>PMID: 33954933</t>
  </si>
  <si>
    <t>https://pubmed.ncbi.nlm.nih.gov/33954933</t>
  </si>
  <si>
    <t>PMID: 31645451</t>
  </si>
  <si>
    <t>https://pubmed.ncbi.nlm.nih.gov/31645451</t>
  </si>
  <si>
    <t>PMID: 30414855</t>
  </si>
  <si>
    <t>https://pubmed.ncbi.nlm.nih.gov/30414855</t>
  </si>
  <si>
    <t>PMID: 34779063</t>
  </si>
  <si>
    <t>https://pubmed.ncbi.nlm.nih.gov/34779063</t>
  </si>
  <si>
    <t>PMID: 33891981</t>
  </si>
  <si>
    <t>https://pubmed.ncbi.nlm.nih.gov/33891981</t>
  </si>
  <si>
    <t>PMID: 33333295</t>
  </si>
  <si>
    <t>https://pubmed.ncbi.nlm.nih.gov/33333295</t>
  </si>
  <si>
    <t>PMID: 32830463</t>
  </si>
  <si>
    <t>https://pubmed.ncbi.nlm.nih.gov/32830463</t>
  </si>
  <si>
    <t>PMID: 34406619</t>
  </si>
  <si>
    <t>https://pubmed.ncbi.nlm.nih.gov/34406619</t>
  </si>
  <si>
    <t>EudraCT Number: 2019-001227-12</t>
  </si>
  <si>
    <t>https://www.clinicaltrialsregister.eu/ctr-search/trial/2019-001227-12/IE</t>
  </si>
  <si>
    <t>EudraCT Number: 2019-001889-15</t>
  </si>
  <si>
    <t>https://www.clinicaltrialsregister.eu/ctr-search/trial/2019-001889-15/FR</t>
  </si>
  <si>
    <t>EudraCT Number: 2019-002643-23</t>
  </si>
  <si>
    <t>https://www.clinicaltrialsregister.eu/ctr-search/trial/2019-002643-23/GB</t>
  </si>
  <si>
    <t>EudraCT Number: 2019-004013-13</t>
  </si>
  <si>
    <t>https://www.clinicaltrialsregister.eu/ctr-search/trial/2019-004013-13/GB</t>
  </si>
  <si>
    <t>Mild-Moderate Atopic Dermatitis</t>
  </si>
  <si>
    <t>EudraCT Number: 2020-003143-28</t>
  </si>
  <si>
    <t>https://www.clinicaltrialsregister.eu/ctr-search/trial/2020-003143-28/GB</t>
  </si>
  <si>
    <t>EudraCT Number: 2020-003639-41</t>
  </si>
  <si>
    <t>https://www.clinicaltrialsregister.eu/ctr-search/trial/2020-003639-41/GB</t>
  </si>
  <si>
    <t>NCT05790330</t>
  </si>
  <si>
    <t>https://ClinicalTrials.gov/show/NCT05790330</t>
  </si>
  <si>
    <t>NCT05375955</t>
  </si>
  <si>
    <t>https://ClinicalTrials.gov/show/NCT05375955</t>
  </si>
  <si>
    <t>NCT05656911</t>
  </si>
  <si>
    <t>https://ClinicalTrials.gov/show/NCT05656911</t>
  </si>
  <si>
    <t>NCT05492578</t>
  </si>
  <si>
    <t>https://ClinicalTrials.gov/show/NCT05492578</t>
  </si>
  <si>
    <t>EudraCT Number: 2019-003304-12</t>
  </si>
  <si>
    <t>https://www.clinicaltrialsregister.eu/ctr-search/trial/2019-003304-12/GB</t>
  </si>
  <si>
    <t>EudraCT Number: 2019-001887-31</t>
  </si>
  <si>
    <t>https://www.clinicaltrialsregister.eu/ctr-search/trial/2019-001887-31/GB</t>
  </si>
  <si>
    <t>PMID: 35871814</t>
  </si>
  <si>
    <t>https://pubmed.ncbi.nlm.nih.gov/35871814</t>
  </si>
  <si>
    <t>PMID: 33000465</t>
  </si>
  <si>
    <t>https://pubmed.ncbi.nlm.nih.gov/33000465</t>
  </si>
  <si>
    <t>PMID: 32711801</t>
  </si>
  <si>
    <t>https://pubmed.ncbi.nlm.nih.gov/32711801</t>
  </si>
  <si>
    <t>PMID: 34023008</t>
  </si>
  <si>
    <t>https://pubmed.ncbi.nlm.nih.gov/34023008</t>
  </si>
  <si>
    <t>PMID: 34416294</t>
  </si>
  <si>
    <t>https://pubmed.ncbi.nlm.nih.gov/34416294</t>
  </si>
  <si>
    <t>PMID: 32492087</t>
  </si>
  <si>
    <t>https://pubmed.ncbi.nlm.nih.gov/32492087</t>
  </si>
  <si>
    <t>PMID: 36920778</t>
  </si>
  <si>
    <t>https://pubmed.ncbi.nlm.nih.gov/36920778</t>
  </si>
  <si>
    <t>PMID: 34698371</t>
  </si>
  <si>
    <t>https://pubmed.ncbi.nlm.nih.gov/34698371</t>
  </si>
  <si>
    <t>PMID: 36509097</t>
  </si>
  <si>
    <t>https://pubmed.ncbi.nlm.nih.gov/36509097</t>
  </si>
  <si>
    <t>PMID: 35567671</t>
  </si>
  <si>
    <t>https://pubmed.ncbi.nlm.nih.gov/35567671</t>
  </si>
  <si>
    <t>PMID: 35763390</t>
  </si>
  <si>
    <t>https://pubmed.ncbi.nlm.nih.gov/35763390</t>
  </si>
  <si>
    <t>PMID: 36108923</t>
  </si>
  <si>
    <t>https://pubmed.ncbi.nlm.nih.gov/36108923</t>
  </si>
  <si>
    <t>PMID: 34921679</t>
  </si>
  <si>
    <t>https://pubmed.ncbi.nlm.nih.gov/34921679</t>
  </si>
  <si>
    <t>PMID: 36263451</t>
  </si>
  <si>
    <t>https://pubmed.ncbi.nlm.nih.gov/36263451</t>
  </si>
  <si>
    <t>PMID: 36082590</t>
  </si>
  <si>
    <t>https://pubmed.ncbi.nlm.nih.gov/36082590</t>
  </si>
  <si>
    <t>PMID: 35857179</t>
  </si>
  <si>
    <t>https://pubmed.ncbi.nlm.nih.gov/35857179</t>
  </si>
  <si>
    <t>PMID: 36512175</t>
  </si>
  <si>
    <t>https://pubmed.ncbi.nlm.nih.gov/36512175</t>
  </si>
  <si>
    <t>PMID: 37213005</t>
  </si>
  <si>
    <t>https://pubmed.ncbi.nlm.nih.gov/37213005</t>
  </si>
  <si>
    <t>PMID: 34854157</t>
  </si>
  <si>
    <t>https://pubmed.ncbi.nlm.nih.gov/34854157</t>
  </si>
  <si>
    <t>PMID: 37043227</t>
  </si>
  <si>
    <t>https://pubmed.ncbi.nlm.nih.gov/37043227</t>
  </si>
  <si>
    <t>PMID: 34305403</t>
  </si>
  <si>
    <t>https://pubmed.ncbi.nlm.nih.gov/34305403</t>
  </si>
  <si>
    <t>PMID: 37074705</t>
  </si>
  <si>
    <t>https://pubmed.ncbi.nlm.nih.gov/37074705</t>
  </si>
  <si>
    <t>PMID: 31583813</t>
  </si>
  <si>
    <t>https://pubmed.ncbi.nlm.nih.gov/31583813</t>
  </si>
  <si>
    <t>PMID: 36573442</t>
  </si>
  <si>
    <t>https://pubmed.ncbi.nlm.nih.gov/36573442</t>
  </si>
  <si>
    <t>PMID: 34462864</t>
  </si>
  <si>
    <t>https://pubmed.ncbi.nlm.nih.gov/34462864</t>
  </si>
  <si>
    <t>PMID: 36303217</t>
  </si>
  <si>
    <t>https://pubmed.ncbi.nlm.nih.gov/36303217</t>
  </si>
  <si>
    <t>PMID: 37184828</t>
  </si>
  <si>
    <t>https://pubmed.ncbi.nlm.nih.gov/37184828</t>
  </si>
  <si>
    <t>PMID: 31419544</t>
  </si>
  <si>
    <t>https://pubmed.ncbi.nlm.nih.gov/31419544</t>
  </si>
  <si>
    <t>PMID: 36473633</t>
  </si>
  <si>
    <t>https://pubmed.ncbi.nlm.nih.gov/36473633</t>
  </si>
  <si>
    <t>PMID: 32072618</t>
  </si>
  <si>
    <t>https://pubmed.ncbi.nlm.nih.gov/32072618</t>
  </si>
  <si>
    <t>Dermatological Society of Singapore</t>
  </si>
  <si>
    <t>Italian Society of Dermatology (SIDeMaST)</t>
  </si>
  <si>
    <t>Icahn School of Medicine at Mount Sinai</t>
  </si>
  <si>
    <t>Icahn School of Medicine at Mount Sinai | Austrian Academy of Sciences</t>
  </si>
  <si>
    <t>Skin Inflammation &amp; Psoriasis International Network (SPIN)</t>
  </si>
  <si>
    <t>Dermatology Nurses’ Association (DNA)</t>
  </si>
  <si>
    <t>International League of Dermatological Societies (ILDS)</t>
  </si>
  <si>
    <t>International Society of Dermatology</t>
  </si>
  <si>
    <t>International Society of Atopic Dermatitis (ISAD)</t>
  </si>
  <si>
    <t>International Alliance of Dermatology Patient Organizations (IADPO)</t>
  </si>
  <si>
    <t>International Dermato Epidemiology Association (IDEA)</t>
  </si>
  <si>
    <t>Foundation for Dermatology Education</t>
  </si>
  <si>
    <t>Meeting International</t>
  </si>
  <si>
    <t>Pulsus Group</t>
  </si>
  <si>
    <t>Irish Association of Dermatologists (IAD)</t>
  </si>
  <si>
    <t>British Association of Dermatologists (BAD)</t>
  </si>
  <si>
    <t>British Dermatological Nursing Group (BDNG)</t>
  </si>
  <si>
    <t>British Society for Investigative Dermatology</t>
  </si>
  <si>
    <t>British Society for Medical Dermatology (BSMD)</t>
  </si>
  <si>
    <t>Primary Care Dermatology Society (PCDS)</t>
  </si>
  <si>
    <t>European Dermatology Forum (EDF)</t>
  </si>
  <si>
    <t>European Society for Dermatological Research (ESDR)</t>
  </si>
  <si>
    <t>European Academy of Dermatology and Venereology (EADV)</t>
  </si>
  <si>
    <t>Hanson Wade</t>
  </si>
  <si>
    <t>Pierre Fabre Eczema Foundation</t>
  </si>
  <si>
    <t>British Society for Cutaneous Allergy</t>
  </si>
  <si>
    <t>https://www.wcd2023singapore.org/wp-content/uploads/2023/06/Congress-Programme-29-Final.pdf</t>
  </si>
  <si>
    <t>https://www.wcd2019milan-dl.org/news-from-wcd2019/wcd-final-programme-WEB.pdf</t>
  </si>
  <si>
    <t>https://www.isds2023.org/program/</t>
  </si>
  <si>
    <t>https://www.isds2023.org/wp-content/uploads/2022/05/ISDS-2020-21_Final-Programme_55x85-Zoll_RZ04_WEB.pdf</t>
  </si>
  <si>
    <t>https://eamciprodendpoint00.azureedge.net/eamciwesteuprod/production-mcigroup-public/a447586e6deb47869e2d83429fd0810d</t>
  </si>
  <si>
    <t>https://www.spindermatology.org/events/spin-2019</t>
  </si>
  <si>
    <t>https://2023.dnanurse.org/about/#</t>
  </si>
  <si>
    <t>https://2022.dnanurse.org/about/</t>
  </si>
  <si>
    <t>https://2021.dnanurse.org/about/</t>
  </si>
  <si>
    <t>https://2020.dnanurse.org/</t>
  </si>
  <si>
    <t>https://2019.dnanurse.org/schedules/</t>
  </si>
  <si>
    <t>https://www.worldskinsummit.com/_files/ugd/9ccfce_ba32edfc400e435e812fb0d76a5e20d5.pdf</t>
  </si>
  <si>
    <t>https://isad.org/events/13th-georg-rajka-symposium-gdansk-2023/programme</t>
  </si>
  <si>
    <t>https://isad.org/events/isad-2020/programme</t>
  </si>
  <si>
    <t>https://globalskin.org/conference/conference-23</t>
  </si>
  <si>
    <t>https://globalskin.org/conference/conference-21</t>
  </si>
  <si>
    <t>https://globalskin.org/component/content/article/84-gs-2019-content/globalskin-2019-conference/313-about?Itemid=1</t>
  </si>
  <si>
    <t>https://intoskin.nl/95-2/</t>
  </si>
  <si>
    <t>https://revolutionizingad.com/virtual-symposium-agenda</t>
  </si>
  <si>
    <t>https://revolutionizingad.com/images/April2022/Prospectus/RAD_2022_Live_Prospectus_with_Agenda_114_v3_28Jan2022.pdf</t>
  </si>
  <si>
    <t>https://revolutionizingad.com/images/Dec2021Conference/RAD_2021_Updated_Prospectus_-_December_2021_Updated_8Oct2021.pdf</t>
  </si>
  <si>
    <t>https://revolutionizingad.com/revolutionizing-atopic-dermatitis</t>
  </si>
  <si>
    <t>https://www.meetingsint.com/conferences/medicaldermatology/2021/scientific-program</t>
  </si>
  <si>
    <t>https://dermatology.cmesociety.com/organizing-committee</t>
  </si>
  <si>
    <t>https://dermatology.cmesociety.com/2022/organizing-committee</t>
  </si>
  <si>
    <t>https://www.irishdermatologists.ie/events/detail/spring-2023</t>
  </si>
  <si>
    <t>https://www.irishdermatologists.ie/events/detail/iad-spring-meeting-5th-7th-may-2022</t>
  </si>
  <si>
    <t>https://www.irishdermatologists.ie/events/detail/spring-meeting-2021</t>
  </si>
  <si>
    <t>https://www.irishdermatologists.ie/events/detail/spring-2020</t>
  </si>
  <si>
    <t>https://www.irishdermatologists.ie/events/detail/spring-2019</t>
  </si>
  <si>
    <t>https://www.irishdermatologists.ie/events/detail/autumn-2023</t>
  </si>
  <si>
    <t>https://www.irishdermatologists.ie/events/detail/autumn-meeting</t>
  </si>
  <si>
    <t>https://www.irishdermatologists.ie/events/detail/autumn-2019</t>
  </si>
  <si>
    <t>https://badannualmeeting.co.uk/wp-content/PDF-Flip/BAD-Final-Programme-2023.html</t>
  </si>
  <si>
    <t>https://badannualmeeting.co.uk/wp-content/PDF-Flip/BAD-Final-Programme-2022.html</t>
  </si>
  <si>
    <t>https://badannualmeeting.co.uk/wp-content/PDF-Flip/BAD-Final-Programme-2021.html</t>
  </si>
  <si>
    <t>https://badannualmeeting.co.uk/wp-content/uploads/2021/05/BAD-Final-Programme-2020-20.5.21.pdf</t>
  </si>
  <si>
    <t>https://badannualmeeting.co.uk/wp-content/uploads/2019/06/BAD-Final-Programme-2019-for-website-updated.pdf</t>
  </si>
  <si>
    <t>https://bdng.org.uk/annual-conference/</t>
  </si>
  <si>
    <t>https://www.emedevents.com/c/medical-conferences-2021/30th-british-dermatological-nursing-group-bdng-annual-conference</t>
  </si>
  <si>
    <t>https://bdng-conference.co.uk/</t>
  </si>
  <si>
    <t>https://www.bsid.org.uk/wp-content/uploads/2023/03/BSID-Annual-Meeting-2023-_Final-Programme190323.pdf</t>
  </si>
  <si>
    <t>https://10times.com/british-society-for-investigative-dermatology-annual-meeting</t>
  </si>
  <si>
    <t>https://cdn.eventsforce.net/files/ef-uip26iq56uzw/website/298/bsid_2021_scientific_programme_final_a.pdf</t>
  </si>
  <si>
    <t>https://cdn.eventsforce.net/files/ef-uip26iq56uzw/website/273/bsid_2019_annual_meeting_programme_final_v3.pdf</t>
  </si>
  <si>
    <t>https://www.eventsforce.net/bad/frontend/reg/tAgendaWebsite.csp?pageID=86200&amp;ef_sel_menu=1272&amp;eventID=282&amp;mode=</t>
  </si>
  <si>
    <t>https://www.pcds.org.uk/files/events/Scottish-Meeting-2023-final.pdf</t>
  </si>
  <si>
    <t>https://www.pcds.org.uk/files/events/Scottish-Meeting-final-proof.pdf</t>
  </si>
  <si>
    <t>https://www.emedevents.com/c/medical-conferences-2021/scottish-meeting-2021</t>
  </si>
  <si>
    <t>https://www.medicsevents.co.uk/events/advanced-dermoscopy-london-2020/</t>
  </si>
  <si>
    <t>https://www.medicsevents.co.uk/events/pcds-scottish-meeting-golden-jubilee-conference-centre-glasgow/</t>
  </si>
  <si>
    <t>https://www.edf-meeting.com/uploads/attachments/clfw5aqrj01mcv2jrxxaisccr-programm-edf2023-compressed.pdf</t>
  </si>
  <si>
    <t>https://www.edf-meeting.com/uploads/attachments/cl2g7fjxg0034dc91n9muqkls-program-flyer-25-edf-annual-meeting-2022-1.pdf</t>
  </si>
  <si>
    <t>https://www.edf-meeting.com/uploads/attachments/cl2g7ga1w0047dc91n5x6txwx-7-gzd-154143-ctlu-23-dermtogy.pdf</t>
  </si>
  <si>
    <t>https://www.edf-meeting.com/uploads/attachments/cl2g8b20z001qf291z852ucuc-gzd-147493-ctlu-22-dermtogy.pdf</t>
  </si>
  <si>
    <t>https://esdrmeeting.org/wp-content/uploads/2022/09/ESDR-ProgramBook.pdf</t>
  </si>
  <si>
    <t>https://esdrmeeting.org/wp-content/uploads/2021/09/esdr2021-programme-book-a4-FinalVersion.pdf</t>
  </si>
  <si>
    <t>http://esdrmeeting.org/wp-content/uploads/2019/09/20190912-ESDR-2019-Program-Book-Web.pdf</t>
  </si>
  <si>
    <t>https://eadvcongress2023.org/scientific/#scientificprogramme</t>
  </si>
  <si>
    <t>https://eadvcongress2022.org/wp-content/uploads/2022/09/FINAL-PROGRAMME_31ST_CONGRESS_05092022_B_.pdf</t>
  </si>
  <si>
    <t>https://www.eadvcongress2021.org/index.php/home/scientific/scientific-programme/</t>
  </si>
  <si>
    <t>https://eadvapps.m-anage.com/eadvvirtual2020/en-GB/PublicProgram?pProgramGrade=Scientific</t>
  </si>
  <si>
    <t>https://docplayer.net/157104930-Final-programme-the-modern-face-of-dermatology-madrid-spain-october-2019-ifema-feria-de-madrid-european-academy-of-dermatology-and-venereology.html</t>
  </si>
  <si>
    <t>https://eadvapps.m-anage.com/eadvsymposium2023/en-GB/pag</t>
  </si>
  <si>
    <t>https://eadvsymposium2022.org/wp-content/uploads/2022/05/Scientific_Programme_Ljubljana.pdf</t>
  </si>
  <si>
    <t>https://www.eadvsymposium2021.org/wp-content/uploads/2021/04/EADV_Symposium2021.pdf</t>
  </si>
  <si>
    <t>https://d2cax41o7ahm5l.cloudfront.net/cs/pdfs/euro-dermatology-2022-tentative-program2022-06-09-06:38:11-112.pdf</t>
  </si>
  <si>
    <t>https://dermatology.conferenceseries.com/europe/2021/scientific-program.php?day=1&amp;sid=7376&amp;date=2021-07-13</t>
  </si>
  <si>
    <t>https://d2cax41o7ahm5l.cloudfront.net/cs/pdfs/euro-dermatology-2020-51438-tentative-program53438.pdf</t>
  </si>
  <si>
    <t>https://d2cax41o7ahm5l.cloudfront.net/cs/pdfs/euro-dermatology-2019-52302-tentative-program32253.pdf</t>
  </si>
  <si>
    <t>https://dermatology-drugdevelopment-europe.com/day-one/</t>
  </si>
  <si>
    <t>https://conferencealerts.com/show-event?id=241680</t>
  </si>
  <si>
    <t>https://www.agah.eu/event/following-a-successful-launch-in-europe-in-2019-the%E2%80%AF2nd%E2%80%AFdermatology-drug-development-europe-summit-returns-to-2021-in-a-fully-digital-format-as-we-werent-able-to-meet/</t>
  </si>
  <si>
    <t>https://live.eventtia.com/en/4th-international-meeting-of-eczema-foundation/Program</t>
  </si>
  <si>
    <t>https://cutaneousallergy.org/wp-content/uploads/dlm_uploads/2021/02/Flyer-Dowling-Club-and-BSCA-Contact-Dermatitis-Update-Meeting-Friday-7th-May-2021.pdf</t>
  </si>
  <si>
    <t>International Eczema Council</t>
  </si>
  <si>
    <t>American Academy of Dermatology</t>
  </si>
  <si>
    <t>National Eczema Society</t>
  </si>
  <si>
    <t>Children’s Health Ireland at Crumlin</t>
  </si>
  <si>
    <t>https://www.jaad.org/action/showPdf?pii=S0190-9622%2813%2901095-5</t>
  </si>
  <si>
    <t>https://www.jaad.org/action/showPdf?pii=S0190-9622%2814%2901257-2</t>
  </si>
  <si>
    <t>https://www.jaad.org/action/showPdf?pii=S0190-9622%2814%2901264-X</t>
  </si>
  <si>
    <t>https://www.jaad.org/action/showPdf?pii=S0190-9622%2814%2901887-8</t>
  </si>
  <si>
    <t>https://www.jaad.org/article/S0190-9622(17)31944-8/fulltext</t>
  </si>
  <si>
    <t>https://www.thermofisher.com/diagnostic-education/dam/clinical/documents/EU-Guidelines-Atopic-Eczema-Adults-Children-Part2.pdf</t>
  </si>
  <si>
    <t>https://www.nice.org.uk/guidance/ta81/resources/frequency-of-application-of-topical-corticosteroids-for-atopic-eczema-pdf-2294813945797</t>
  </si>
  <si>
    <t>https://www.nice.org.uk/guidance/ta82/resources/tacrolimus-and-pimecrolimus-for-atopic-eczema-pdf-2294815625413</t>
  </si>
  <si>
    <t>https://www.rcplondon.ac.uk/guidelines-policy/dermatitis-occupational-aspects-management-2009</t>
  </si>
  <si>
    <t>https://www.nice.org.uk/guidance/ng190/resources/secondary-bacterial-infection-of-eczema-and-other-common-skin-conditions-antimicrobial-prescribing-pdf-66142075429573</t>
  </si>
  <si>
    <t>https://www.nice.org.uk/guidance/ta681/resources/baricitinib-for-treating-moderate-to-severe-atopic-dermatitis-pdf-82609375014853</t>
  </si>
  <si>
    <t>https://www.nice.org.uk/guidance/ta534/resources/dupilumab-for-treating-moderate-to-severe-atopic-dermatitis-pdf-82606900940485</t>
  </si>
  <si>
    <t>https://www.nice.org.uk/guidance/indevelopment/gid-ta10597</t>
  </si>
  <si>
    <t>https://media.childrenshealthireland.ie/documents/dermatology-atopic-dermatitis-eczema-2022.pdf</t>
  </si>
  <si>
    <t>https://www.altogethereczema.org/</t>
  </si>
  <si>
    <t>https://www.improveeczemacare.com/</t>
  </si>
  <si>
    <t>https://globalskin.org/</t>
  </si>
  <si>
    <t>https://www.eczemacouncil.org/</t>
  </si>
  <si>
    <t>https://www.itsan.org/</t>
  </si>
  <si>
    <t>https://www.changingfaces.org.uk/</t>
  </si>
  <si>
    <t>https://www.skinawareness.org/</t>
  </si>
  <si>
    <t>https://irishskin.ie/</t>
  </si>
  <si>
    <t>https://www.britishskinfoundation.org.uk/</t>
  </si>
  <si>
    <t>https://www.eczemacareonline.org.uk/en/intro</t>
  </si>
  <si>
    <t>https://eczema.org/</t>
  </si>
  <si>
    <t>https://scratchthat.org.uk/</t>
  </si>
  <si>
    <t>http://skincarecymru.wales/</t>
  </si>
  <si>
    <t>https://www.dnanurse.org/</t>
  </si>
  <si>
    <t>http://www.homeforeczema.org/index.aspx</t>
  </si>
  <si>
    <t>https://www.icdrg.org/</t>
  </si>
  <si>
    <t>https://dermoscopy-ids.org/</t>
  </si>
  <si>
    <t>https://ilds.org/</t>
  </si>
  <si>
    <t>Germany</t>
  </si>
  <si>
    <t>https://www.isdsworld.com/</t>
  </si>
  <si>
    <t>https://isdis.org/</t>
  </si>
  <si>
    <t>https://www.isadsociety.org/</t>
  </si>
  <si>
    <t>https://www.intsocderm.org/</t>
  </si>
  <si>
    <t>https://www.intsocdermpath.org/</t>
  </si>
  <si>
    <t>http://www.telemedicine.org/</t>
  </si>
  <si>
    <t>https://www.spindermatology.org/</t>
  </si>
  <si>
    <t>https://www.eadv.org//</t>
  </si>
  <si>
    <t>https://www.dermepi.eu/</t>
  </si>
  <si>
    <t>https://www.edf.one/en/</t>
  </si>
  <si>
    <t>https://www.eecdrg.org/</t>
  </si>
  <si>
    <t>https://esdr.org/</t>
  </si>
  <si>
    <t>https://www.psychodermatology.net/</t>
  </si>
  <si>
    <t>https://escd.org/</t>
  </si>
  <si>
    <t>https://www.essca-dc.org/</t>
  </si>
  <si>
    <t>Spain</t>
  </si>
  <si>
    <t>https://www.irishdermatologists.ie/</t>
  </si>
  <si>
    <t>https://nisrsolutions.com/</t>
  </si>
  <si>
    <t>https://www.sds.org.uk/</t>
  </si>
  <si>
    <t>https://bad.org.uk</t>
  </si>
  <si>
    <t>https://bdng.org.uk/</t>
  </si>
  <si>
    <t>https://cutaneousallergy.org/</t>
  </si>
  <si>
    <t>https://thebsd.org.uk/</t>
  </si>
  <si>
    <t>https://www.bsid.org.uk/</t>
  </si>
  <si>
    <t>https://www.bsmd.org.uk/</t>
  </si>
  <si>
    <t>https://www.pcds.org.uk/</t>
  </si>
  <si>
    <t>https://www.psychodermatology.co.uk/</t>
  </si>
  <si>
    <t>https://bsds.org.uk/</t>
  </si>
  <si>
    <t>http://www.ukdctn.org/index.aspx</t>
  </si>
  <si>
    <t>https://www.hiqa.ie/</t>
  </si>
  <si>
    <t>http://www.ncpe.ie/</t>
  </si>
  <si>
    <t>https://www.sign.ac.uk/</t>
  </si>
  <si>
    <t>https://www.gov.ie/en/organisation/department-of-health/</t>
  </si>
  <si>
    <t>https://www.hpra.ie/</t>
  </si>
  <si>
    <t>https://www.thepsi.ie/gns/home.aspx</t>
  </si>
  <si>
    <t>https://www.hse.ie/eng/</t>
  </si>
  <si>
    <t>https://www.hsa.ie/eng/</t>
  </si>
  <si>
    <t>https://www.england.nhs.uk/commissioning/spec-services/npc-crg/group-a/specialised-dermatology/</t>
  </si>
  <si>
    <t>https://www.gov.uk/government/organisations/department-of-health-and-social-care</t>
  </si>
  <si>
    <t>http://www.abpi.org.uk/</t>
  </si>
  <si>
    <t>https://online.hscni.net/lcgs/belfast/</t>
  </si>
  <si>
    <t>https://online.hscni.net/</t>
  </si>
  <si>
    <t>https://online.hscni.net/lcgs/northern/</t>
  </si>
  <si>
    <t>https://online.hscni.net/lcgs/south-eastern/</t>
  </si>
  <si>
    <t>https://online.hscni.net/lcgs/southern/</t>
  </si>
  <si>
    <t>https://online.hscni.net/lcgs/western/</t>
  </si>
  <si>
    <t>https://cavuhb.nhs.wales/</t>
  </si>
  <si>
    <t>https://pthb.nhs.wales/</t>
  </si>
  <si>
    <t>https://www.uems-ebdv.org/web/</t>
  </si>
  <si>
    <t>Chronic Eczematous Disorder</t>
  </si>
  <si>
    <t>Chronic Skin Diseases/ Chronic Skin Disorders</t>
  </si>
  <si>
    <t>Dermatoses</t>
  </si>
  <si>
    <t>Dermatosis</t>
  </si>
  <si>
    <t>Eczematoid</t>
  </si>
  <si>
    <t>Eczematous Dermatitis/ Eczematous Dermatoses</t>
  </si>
  <si>
    <t>Eczematous Skin Diseases/ Eczematous Skin Disorders</t>
  </si>
  <si>
    <t>Endogenous Eczema/ Endogenous Dermatitis</t>
  </si>
  <si>
    <t>Infectious Eczematoid Dermatitis/ IED</t>
  </si>
  <si>
    <t>Inflammatory Skin Conditions/ Inflammatory Skin Diseases/ Inflammatory Skin Disorders</t>
  </si>
  <si>
    <t>Non-Contagious Skin Conditions/ Non-Contagious Skin Diseases/ Non-Contagious Skin Disorders</t>
  </si>
  <si>
    <t>Acitretin</t>
  </si>
  <si>
    <t>Alitretinoin</t>
  </si>
  <si>
    <t>Azathioprine</t>
  </si>
  <si>
    <t>Betamethasone Dipropionate</t>
  </si>
  <si>
    <t>Betamethasone Valerate</t>
  </si>
  <si>
    <t>Bexarotene Gel</t>
  </si>
  <si>
    <t>Chlorhexidine</t>
  </si>
  <si>
    <t>Ciclosporin/ Cyclosporine/ Cyclosporin</t>
  </si>
  <si>
    <t>Clobetasol Propionate</t>
  </si>
  <si>
    <t>Corectim</t>
  </si>
  <si>
    <t>Delgocitinib</t>
  </si>
  <si>
    <t>Desonide</t>
  </si>
  <si>
    <t>Dexamethasone</t>
  </si>
  <si>
    <t>Dupilumab</t>
  </si>
  <si>
    <t>Fluocinolone Acetonide</t>
  </si>
  <si>
    <t>Fluocinonide</t>
  </si>
  <si>
    <t>Fluticasone Propionate</t>
  </si>
  <si>
    <t>Gusacitinib</t>
  </si>
  <si>
    <t>Halcinonide</t>
  </si>
  <si>
    <t>Halometasone Triclosan</t>
  </si>
  <si>
    <t>Hydrocortisone</t>
  </si>
  <si>
    <t>Hydrocortisone Valerate</t>
  </si>
  <si>
    <t>LEO 19123</t>
  </si>
  <si>
    <t>Mometasone Furoate</t>
  </si>
  <si>
    <t>Mycophenolate Mofetil</t>
  </si>
  <si>
    <t>Pimecrolimus</t>
  </si>
  <si>
    <t>Protopic</t>
  </si>
  <si>
    <t>Roflumilast</t>
  </si>
  <si>
    <t>Tacrolimus</t>
  </si>
  <si>
    <t>Toctino</t>
  </si>
  <si>
    <t>Triamcinolone Acetonide/ Triamcinolone Acetate/ Triamcinolone</t>
  </si>
  <si>
    <t>Antibacterial Ointments</t>
  </si>
  <si>
    <t>Antihistamine</t>
  </si>
  <si>
    <t>Botulinum Toxin</t>
  </si>
  <si>
    <t>Emollients/ Moisturizers</t>
  </si>
  <si>
    <t>Immunosuppressants</t>
  </si>
  <si>
    <t>Iontophoresis</t>
  </si>
  <si>
    <t>Janus Kinase Inhibitor/ JAK Inhibitor/ Pan-Janus Kinase Inhibitor/ Pan-JAK</t>
  </si>
  <si>
    <t>Monoclonal Antibodies/ mAbs</t>
  </si>
  <si>
    <t>Phosphodiesterase-4 Inhibitors/ PDE-4 inhibitors</t>
  </si>
  <si>
    <t>Retinoids</t>
  </si>
  <si>
    <t>Systemic Corticosteroids/ Oral Corticosteroids</t>
  </si>
  <si>
    <t>Topical Antibiotics</t>
  </si>
  <si>
    <t>Topical Antiseptics</t>
  </si>
  <si>
    <t>Topical Calcineurin Inhibitors</t>
  </si>
  <si>
    <t>Topical Corticosteroids/ Topical Steroids</t>
  </si>
  <si>
    <t>PUVA Therapy/ Psoralen plus ultraviolet A Therapy/ Psoralen plus UV Therapy</t>
  </si>
  <si>
    <t>Radiotherapy</t>
  </si>
  <si>
    <t>Ultraviolet Phototherapy/ Ultraviolet Light Therapy/ UV Light Therapy</t>
  </si>
  <si>
    <t>UVA Phototherapy/ Ultraviolet A Therapy</t>
  </si>
  <si>
    <t>UVB Phototherapy/ Ultraviolet B Therapy</t>
  </si>
  <si>
    <t>Dermatology Life Quality Index (DLQI)</t>
  </si>
  <si>
    <t>Patient-Oriented Eczema Measure (POEM)</t>
  </si>
  <si>
    <t>Pruritus/Itch Numeric Rating Scale (NRS)</t>
  </si>
  <si>
    <t>List of Keyterms AND Synonyms (Therapy)</t>
  </si>
  <si>
    <t>Topical JAK Inhibitor</t>
  </si>
  <si>
    <t>https://www.nice.org.uk/guidance/ta814/resources/abrocitinib-tralokinumab-or-upadacitinib-for-treating-moderate-to-severe-atopic-dermatitis-pdf-82613310355141</t>
  </si>
  <si>
    <t>https://www.acpjournals.org/journal/aim/about-us</t>
  </si>
  <si>
    <t>https://www.hindawi.com/journals/dth/</t>
  </si>
  <si>
    <t>https://isad.org/events/12th-georg-rajka-symposium-isad-montreal-2022/programme</t>
  </si>
  <si>
    <t>https://bcuhb.nhs.wales/</t>
  </si>
  <si>
    <t>https://abuhb.nhs.wales/</t>
  </si>
  <si>
    <t>https://hduhb.nhs.wales/</t>
  </si>
  <si>
    <t>ICS_Title</t>
  </si>
  <si>
    <t>ICS_Region</t>
  </si>
  <si>
    <t>ICS_Link</t>
  </si>
  <si>
    <t>East of England</t>
  </si>
  <si>
    <t>https://blmkhealthandcarepartnership.org/</t>
  </si>
  <si>
    <t>https://www.cpics.org.uk/</t>
  </si>
  <si>
    <t>https://hertsandwestessexics.org.uk/</t>
  </si>
  <si>
    <t>https://www.midandsouthessex.ics.nhs.uk/</t>
  </si>
  <si>
    <t>https://improvinglivesnw.org.uk/</t>
  </si>
  <si>
    <t>https://www.sneeics.org.uk/</t>
  </si>
  <si>
    <t>London</t>
  </si>
  <si>
    <t>https://nclhealthandcare.org.uk/</t>
  </si>
  <si>
    <t>https://northeastlondon.icb.nhs.uk/</t>
  </si>
  <si>
    <t>https://www.nwlondonicb.nhs.uk/</t>
  </si>
  <si>
    <t>https://www.selondonics.org/</t>
  </si>
  <si>
    <t>https://www.southwestlondonics.org.uk/</t>
  </si>
  <si>
    <t>Midlands</t>
  </si>
  <si>
    <t>https://www.birminghamsolihull.icb.nhs.uk/</t>
  </si>
  <si>
    <t>https://blackcountryics.org.uk/</t>
  </si>
  <si>
    <t>https://www.happyhealthylives.uk/</t>
  </si>
  <si>
    <t>https://joinedupcarederbyshire.co.uk/</t>
  </si>
  <si>
    <t>https://www.hwics.org.uk/</t>
  </si>
  <si>
    <t>https://leicesterleicestershireandrutland.icb.nhs.uk/</t>
  </si>
  <si>
    <t>https://lincolnshire.icb.nhs.uk/</t>
  </si>
  <si>
    <t>https://www.icnorthamptonshire.org.uk/</t>
  </si>
  <si>
    <t>https://healthandcarenotts.co.uk/</t>
  </si>
  <si>
    <t>https://www.shropshiretelfordandwrekin.ics.nhs.uk/</t>
  </si>
  <si>
    <t>https://staffsstokeics.org.uk/</t>
  </si>
  <si>
    <t>North East and Yorkshire</t>
  </si>
  <si>
    <t>https://humberandnorthyorkshire.icb.nhs.uk/</t>
  </si>
  <si>
    <t>https://northeastnorthcumbria.nhs.uk/</t>
  </si>
  <si>
    <t>https://syics.co.uk/</t>
  </si>
  <si>
    <t>https://www.westyorkshire.icb.nhs.uk/</t>
  </si>
  <si>
    <t>North West</t>
  </si>
  <si>
    <t>https://www.cheshireandmerseyside.nhs.uk/</t>
  </si>
  <si>
    <t>https://gmintegratedcare.org.uk/</t>
  </si>
  <si>
    <t>https://www.healthierlsc.co.uk/</t>
  </si>
  <si>
    <t>South East</t>
  </si>
  <si>
    <t>https://www.bucksoxonberksw.icb.nhs.uk/</t>
  </si>
  <si>
    <t>https://www.hantsiowhealthandcare.org.uk/</t>
  </si>
  <si>
    <t>https://www.surreyheartlands.org/</t>
  </si>
  <si>
    <t>https://www.sussex.ics.nhs.uk/</t>
  </si>
  <si>
    <t>South East                   </t>
  </si>
  <si>
    <t>https://www.frimleyhealthandcare.org.uk/</t>
  </si>
  <si>
    <t>https://www.kmhealthandcare.uk/</t>
  </si>
  <si>
    <t>South West</t>
  </si>
  <si>
    <t>https://bswtogether.org.uk/</t>
  </si>
  <si>
    <t>https://bnssg.icb.nhs.uk/</t>
  </si>
  <si>
    <t>https://cios.icb.nhs.uk/</t>
  </si>
  <si>
    <t>https://onedevon.org.uk/</t>
  </si>
  <si>
    <t>https://nhsdorset.nhs.uk/</t>
  </si>
  <si>
    <t>https://www.onegloucestershire.net/</t>
  </si>
  <si>
    <t>https://nhssomerset.nhs.uk/about-us/integrated-care-in-somerset/</t>
  </si>
  <si>
    <t>Abrocitinib</t>
  </si>
  <si>
    <t>Baricitinib</t>
  </si>
  <si>
    <t>Cost of Illness</t>
  </si>
  <si>
    <t>Cost Utility</t>
  </si>
  <si>
    <t>Ruxolitinib</t>
  </si>
  <si>
    <t>Disability-Adjusted Life-Years</t>
  </si>
  <si>
    <t>Economic Burden</t>
  </si>
  <si>
    <t>Global Burden</t>
  </si>
  <si>
    <t>Health Care Cost</t>
  </si>
  <si>
    <t>Humanistic Burden</t>
  </si>
  <si>
    <t>Upadacitinib</t>
  </si>
  <si>
    <t>Incidence</t>
  </si>
  <si>
    <t>Prevalence</t>
  </si>
  <si>
    <t>Psycho-dermatology Impact</t>
  </si>
  <si>
    <t>Psycho-economic Impact</t>
  </si>
  <si>
    <t>Psycho-social Impact</t>
  </si>
  <si>
    <t>Socioeconomics</t>
  </si>
  <si>
    <t>Access to Care</t>
  </si>
  <si>
    <t>Anxiety</t>
  </si>
  <si>
    <t>Bereavement</t>
  </si>
  <si>
    <t>Burnout</t>
  </si>
  <si>
    <t>Comorbidity</t>
  </si>
  <si>
    <t>Depression</t>
  </si>
  <si>
    <t>Deprivation</t>
  </si>
  <si>
    <t>Disturbed Sleep/ Insomnia/ Poor Sleep Quality</t>
  </si>
  <si>
    <t>Emotional Impact/ Emotional Distress/ Emotional Well-Being</t>
  </si>
  <si>
    <t>Environmental Allergens</t>
  </si>
  <si>
    <t>Environmental Factors/ Environmental Triggers</t>
  </si>
  <si>
    <t>Income</t>
  </si>
  <si>
    <t>Irritability</t>
  </si>
  <si>
    <t>Low Self-Esteem</t>
  </si>
  <si>
    <t>Mental Health</t>
  </si>
  <si>
    <t>Productivity Loss/ Work Productivity/ Work Ability</t>
  </si>
  <si>
    <t>Removal from Work</t>
  </si>
  <si>
    <t>Severity of Illness Index</t>
  </si>
  <si>
    <t>Sickness Absence/ Sick Leave</t>
  </si>
  <si>
    <t>Social Isolation/ Loneliness</t>
  </si>
  <si>
    <t>Stress</t>
  </si>
  <si>
    <t>Suicidal Ideation/ Suicidal Thoughts/ Suicidal Behavior</t>
  </si>
  <si>
    <t>Treatment Outcome</t>
  </si>
  <si>
    <t>https://www.england.nhs.uk/</t>
  </si>
  <si>
    <t>https://www.publichealthscotland.scot/</t>
  </si>
  <si>
    <t>https://www.gov.uk/government/organisations/medicines-and-healthcare-products-regulatory-agency</t>
  </si>
  <si>
    <t>https://www.ndph.ox.ac.uk/our-research/health-services-research-unit-hsru</t>
  </si>
  <si>
    <t>https://www.sps.nhs.uk/articles/sps-horizon-scanning/</t>
  </si>
  <si>
    <t>https://awttc.nhs.wales/about-us1/our-committees/#AWMSG</t>
  </si>
  <si>
    <t>https://web.archive.org/web/20231003080323/http://www.euroskinresearch.org/j15/</t>
  </si>
  <si>
    <t>https://web.archive.org/web/20220810201505/http://www.skinsupport.org.uk/about-us.html</t>
  </si>
  <si>
    <t>https://www.atopicdermatitisatlas.org/en/</t>
  </si>
  <si>
    <t>Harmonising Outcome Measures for Eczema (HOME)</t>
  </si>
  <si>
    <t>https://www.gloderm.org/</t>
  </si>
  <si>
    <t>https://ern-skin.eu/</t>
  </si>
  <si>
    <t>https://web.archive.org/web/20220926003601/http://ewdvs.com/</t>
  </si>
  <si>
    <t>Primary Care Dermatological Society Ireland</t>
  </si>
  <si>
    <t>https://www.pcdsi.com/</t>
  </si>
  <si>
    <t>https://badgem.org.uk/</t>
  </si>
  <si>
    <t>https://bpg.org.uk/</t>
  </si>
  <si>
    <t>https://www.bsscii.org.uk/</t>
  </si>
  <si>
    <t>https://rapideczematrials.org/</t>
  </si>
  <si>
    <t>https://www.uktrend.org/</t>
  </si>
  <si>
    <t>Health_Innovation_Network</t>
  </si>
  <si>
    <t>https://healthinnovation-em.org.uk/</t>
  </si>
  <si>
    <t>https://healthinnovationeast.co.uk/</t>
  </si>
  <si>
    <t>https://healthinnovation-kss.com/</t>
  </si>
  <si>
    <t>https://healthinnovationnenc.org.uk/</t>
  </si>
  <si>
    <t>https://www.healthinnovationnwc.nhs.uk/</t>
  </si>
  <si>
    <t>https://www.healthinnovationoxford.org/</t>
  </si>
  <si>
    <t>https://healthinnovationsouthwest.com/</t>
  </si>
  <si>
    <t>https://healthinnovationwessex.org.uk/</t>
  </si>
  <si>
    <t>https://www.healthinnovationwestmidlands.org/</t>
  </si>
  <si>
    <t>https://www.healthinnowest.net/</t>
  </si>
  <si>
    <t>https://www.healthinnovationyh.org.uk/</t>
  </si>
  <si>
    <t>https://sbuhb.nhs.wales/</t>
  </si>
  <si>
    <t>Adenosine A3 Receptor Agonists/ A3AR Agonists</t>
  </si>
  <si>
    <t>Phototherapy/ Light Therapy</t>
  </si>
  <si>
    <t>Atopic Dermatitis/ Chemically Induced</t>
  </si>
  <si>
    <t>Atopic Dermatitis/ Complications</t>
  </si>
  <si>
    <t>Adalimumab/ Adalimumab-adaz</t>
  </si>
  <si>
    <t>Atopic Dermatitis/ Diagnosis</t>
  </si>
  <si>
    <t>Barrier Creams/ Protective Creams/ Topical Creams</t>
  </si>
  <si>
    <t>Body Surface Area (BSA)</t>
  </si>
  <si>
    <t>Atopic Dermatitis/ Drug Therapy</t>
  </si>
  <si>
    <t>Atopic Dermatitis/ Epidemiology</t>
  </si>
  <si>
    <t>Apremilast</t>
  </si>
  <si>
    <t>Burden of Disease/ Burden of Illness</t>
  </si>
  <si>
    <t>Atopic Dermatitis/ Etiology</t>
  </si>
  <si>
    <t>Atopic Dermatitis/ Pathology</t>
  </si>
  <si>
    <t>Interleukin Inhibitors/ IL Inhibitors</t>
  </si>
  <si>
    <t>Atopic Dermatitis/ Therapy</t>
  </si>
  <si>
    <t>Janus Kinase-Signal Transducer and Activator of Transcription Inhibitors/ JAK-STAT Inhibitors</t>
  </si>
  <si>
    <t>Atopic Neurodermatitis/ Neurodermatitis Atopica/ Disseminated Neurodermatitis</t>
  </si>
  <si>
    <t>Bimekizumab</t>
  </si>
  <si>
    <t>Brepocitinib</t>
  </si>
  <si>
    <t>Certolizumab</t>
  </si>
  <si>
    <t>TNF Inhibitors/ Tumor Necrosis Factor Inhibitors</t>
  </si>
  <si>
    <t>Deucravacitinib</t>
  </si>
  <si>
    <t>TYK2 Inhibitors/ Tyrosine Kinase 2 Inhibitors</t>
  </si>
  <si>
    <t>Efalizumab</t>
  </si>
  <si>
    <t>Etanercept</t>
  </si>
  <si>
    <t>Guselkumab</t>
  </si>
  <si>
    <t>Infliximab</t>
  </si>
  <si>
    <t>Investigator Global Assessment (IGA)</t>
  </si>
  <si>
    <t>Ixekizumab</t>
  </si>
  <si>
    <t>Izokibep</t>
  </si>
  <si>
    <t>Lattice System Physician's Global Assessment (LS-PGA)</t>
  </si>
  <si>
    <t>Mirikizumab</t>
  </si>
  <si>
    <t>Nemolizumab</t>
  </si>
  <si>
    <t>Orismilast</t>
  </si>
  <si>
    <t>Piclidenoson</t>
  </si>
  <si>
    <t>Risankizumab</t>
  </si>
  <si>
    <t>Physician Global Assessment (PGA)/ Static Physician's Global Assessment (sPGA)</t>
  </si>
  <si>
    <t>Salicylic Acid</t>
  </si>
  <si>
    <t>Secukinumab</t>
  </si>
  <si>
    <t>Sonelokimab</t>
  </si>
  <si>
    <t>Spesolimab</t>
  </si>
  <si>
    <t>TAK-279</t>
  </si>
  <si>
    <t>Taltz</t>
  </si>
  <si>
    <t>Tapinarof</t>
  </si>
  <si>
    <t>Tazarotene</t>
  </si>
  <si>
    <t>Tildrakizumab</t>
  </si>
  <si>
    <t>Tralokinumab/ Adtralza/ Tralokinumab-ldrm/ Adbry</t>
  </si>
  <si>
    <t>Ustekinumab</t>
  </si>
  <si>
    <t>Vitamin D Analogues</t>
  </si>
  <si>
    <t>https://pubmed.ncbi.nlm.nih.gov/29672835/</t>
  </si>
  <si>
    <t>Mexican Academy of Dermatology</t>
  </si>
  <si>
    <t>https://www.wcd2027guadalajara.org/</t>
  </si>
  <si>
    <t>https://isad.org/events/14th-georg-rajka-symposium-isad-2024-doha?date=202402061229#doha</t>
  </si>
  <si>
    <t>https://isad.org/events/11th-georg-rajka-symposium-isad-seoul-2021</t>
  </si>
  <si>
    <t>https://www.icd2025rome.org/</t>
  </si>
  <si>
    <t>https://www.intsocderm.org/files/ISD_Conn_Fall_2021.pdf</t>
  </si>
  <si>
    <t>https://kindcongress.com/event/3rd-international-conference-on-dermatology-research-dermatology-2023/</t>
  </si>
  <si>
    <t>https://dermatology.conferenceseries.com/europe/scientific-program.php</t>
  </si>
  <si>
    <t>https://www.linkedin.com/pulse/23rd-european-dermatology-congress-july-27-28-2023-paris-wilson</t>
  </si>
  <si>
    <t>https://eadv.org/congress/</t>
  </si>
  <si>
    <t>https://eadv.org/symposium/the-symposium/</t>
  </si>
  <si>
    <t>https://www.edf-meeting.com/en/</t>
  </si>
  <si>
    <t>https://esdrmeeting.org/</t>
  </si>
  <si>
    <t>https://uniontherapeutics.com/union-therapeutics-to-present-at-4th-annual-dermatology-drug-development-summit-europe/</t>
  </si>
  <si>
    <t>https://badannualmeeting.co.uk/meeting-information/</t>
  </si>
  <si>
    <t>https://www.emedevents.com/c/medical-conferences-2022/british-dermatological-nursing-group-bdng-31th-annual-conference</t>
  </si>
  <si>
    <t>https://cutaneousallergy.org/meetings-courses/page/2/</t>
  </si>
  <si>
    <t>https://www.bsid.org.uk/annual-meeting/</t>
  </si>
  <si>
    <t>https://www.bsmd.org.uk/events-courses</t>
  </si>
  <si>
    <t>https://abbey.eventsair.com/AbbeyEventApp/pcdsi-2024/programme/Agenda</t>
  </si>
  <si>
    <t>https://www.icgp.ie/go/search/6231FBF5-3754-4F5B-88E042BFDA087A44</t>
  </si>
  <si>
    <t>https://www.icgp.ie/go/search/EE8F78A4-E1E8-438C-863C7E507E586FF5</t>
  </si>
  <si>
    <t>https://www.icgp.ie/go/search/80339517-D547-4CBB-BB2FB59694897BBC</t>
  </si>
  <si>
    <t>https://www.medicalindependent.ie/societies/pcdsi/pcdsi-annual-scientific-conference-2019/</t>
  </si>
  <si>
    <t>International Societies for Investigative Dermatology</t>
  </si>
  <si>
    <t>https://isid2023.org/wp-content/uploads/2023/05/ISID_2023_Program-Book_Final_6-web_low.pdf</t>
  </si>
  <si>
    <t>https://2024.dnanurse.org/</t>
  </si>
  <si>
    <t>NCT05454722</t>
  </si>
  <si>
    <t>https://clinicaltrials.gov/study/NCT05454722</t>
  </si>
  <si>
    <t>NCT05507580</t>
  </si>
  <si>
    <t>https://clinicaltrials.gov/study/NCT05507580</t>
  </si>
  <si>
    <t>NCT05633355</t>
  </si>
  <si>
    <t>https://clinicaltrials.gov/study/NCT05633355</t>
  </si>
  <si>
    <t>NCT05651711</t>
  </si>
  <si>
    <t>https://clinicaltrials.gov/study/NCT05651711</t>
  </si>
  <si>
    <t>NCT05724199</t>
  </si>
  <si>
    <t>https://clinicaltrials.gov/study/NCT05724199</t>
  </si>
  <si>
    <t>NCT05769777</t>
  </si>
  <si>
    <t>https://clinicaltrials.gov/study/NCT05769777</t>
  </si>
  <si>
    <t>NCT05923099</t>
  </si>
  <si>
    <t>https://clinicaltrials.gov/study/NCT05923099</t>
  </si>
  <si>
    <t>NCT06119529</t>
  </si>
  <si>
    <t>https://clinicaltrials.gov/study/NCT06119529</t>
  </si>
  <si>
    <t>PMID: 31543428</t>
  </si>
  <si>
    <t>https://pubmed.ncbi.nlm.nih.gov/31543428</t>
  </si>
  <si>
    <t>PMID: 31999862</t>
  </si>
  <si>
    <t>https://pubmed.ncbi.nlm.nih.gov/31999862</t>
  </si>
  <si>
    <t>PMID: 32430334</t>
  </si>
  <si>
    <t>https://pubmed.ncbi.nlm.nih.gov/32430334</t>
  </si>
  <si>
    <t>PMID: 33551026</t>
  </si>
  <si>
    <t>https://pubmed.ncbi.nlm.nih.gov/33551026</t>
  </si>
  <si>
    <t>PMID: 33761207</t>
  </si>
  <si>
    <t>https://pubmed.ncbi.nlm.nih.gov/33761207</t>
  </si>
  <si>
    <t>PMID: 34877731</t>
  </si>
  <si>
    <t>https://pubmed.ncbi.nlm.nih.gov/34877731</t>
  </si>
  <si>
    <t>PMID: 36802049</t>
  </si>
  <si>
    <t>https://pubmed.ncbi.nlm.nih.gov/36802049</t>
  </si>
  <si>
    <t>PMID: 36848918</t>
  </si>
  <si>
    <t>https://pubmed.ncbi.nlm.nih.gov/36848918</t>
  </si>
  <si>
    <t>PMID: 36848919</t>
  </si>
  <si>
    <t>https://pubmed.ncbi.nlm.nih.gov/36848919</t>
  </si>
  <si>
    <t>PMID: 36912484</t>
  </si>
  <si>
    <t>https://pubmed.ncbi.nlm.nih.gov/36912484</t>
  </si>
  <si>
    <t>PMID: 36963619</t>
  </si>
  <si>
    <t>https://pubmed.ncbi.nlm.nih.gov/36963619</t>
  </si>
  <si>
    <t>PMID: 37036183</t>
  </si>
  <si>
    <t>https://pubmed.ncbi.nlm.nih.gov/37036183</t>
  </si>
  <si>
    <t>PMID: 37178404</t>
  </si>
  <si>
    <t>https://pubmed.ncbi.nlm.nih.gov/37178404</t>
  </si>
  <si>
    <t>PMID: 37319109</t>
  </si>
  <si>
    <t>https://pubmed.ncbi.nlm.nih.gov/37319109</t>
  </si>
  <si>
    <t>PMID: 37463508</t>
  </si>
  <si>
    <t>https://pubmed.ncbi.nlm.nih.gov/37463508</t>
  </si>
  <si>
    <t>PMID: 37562034</t>
  </si>
  <si>
    <t>https://pubmed.ncbi.nlm.nih.gov/37562034</t>
  </si>
  <si>
    <t>PMID: 37574761</t>
  </si>
  <si>
    <t>https://pubmed.ncbi.nlm.nih.gov/37574761</t>
  </si>
  <si>
    <t>PMID: 37800475</t>
  </si>
  <si>
    <t>https://pubmed.ncbi.nlm.nih.gov/37800475</t>
  </si>
  <si>
    <t>PMID: 37804473</t>
  </si>
  <si>
    <t>https://pubmed.ncbi.nlm.nih.gov/37804473</t>
  </si>
  <si>
    <t>PMID: 37988255</t>
  </si>
  <si>
    <t>https://pubmed.ncbi.nlm.nih.gov/37988255</t>
  </si>
  <si>
    <t>Psoriasis | Atopic Dermatitis</t>
  </si>
  <si>
    <t>Eczema, Infantile | Eczema | Atopic Dermatitis Eczema | Atopic Dermatitis</t>
  </si>
  <si>
    <t>Atopic Dermatitis Eczema | Atopic Dermatitis | Eczema</t>
  </si>
  <si>
    <t>Eczema Atopic Dermatitis | Eczema | Eczema, Infantile | Food Allergy</t>
  </si>
  <si>
    <t>Psoriasis Vulgaris | Atopic Dermatitis | Ichthyosis Vulgaris</t>
  </si>
  <si>
    <t>Atopic Dermatitis | Psoriasis | Asthma</t>
  </si>
  <si>
    <t>Atopic Dermatitis | Plaque Psoriasis</t>
  </si>
  <si>
    <t>Healthy | Atopic Dermatitis</t>
  </si>
  <si>
    <t>Anti-IL-22 Antibodies/ Anti-Interleukin-22 Antibodies</t>
  </si>
  <si>
    <t>Izuforant</t>
  </si>
  <si>
    <t>Activity_Category</t>
  </si>
  <si>
    <t>General</t>
  </si>
  <si>
    <t>Dermatology</t>
  </si>
  <si>
    <t>https://www.sciencedirect.com/journal/jaad-international/about/editorial-board</t>
  </si>
  <si>
    <t>Atopic Dermatitis | Psoriasis</t>
  </si>
  <si>
    <t>List of Keyterms AND Synonyms (Atopic Dermatitis)</t>
  </si>
  <si>
    <t>https://onlinelibrary.wiley.com/journal/15251470</t>
  </si>
  <si>
    <t>https://www.primescholars.com/clinical-pediatrics-dermatology.html</t>
  </si>
  <si>
    <t>https://www.ejpd.com/index.php/journal</t>
  </si>
  <si>
    <t>Paediatric Dermatology</t>
  </si>
  <si>
    <t>Atopic Dermatitis | Arthritis</t>
  </si>
  <si>
    <t>PMID: 35617974</t>
  </si>
  <si>
    <t>NCT03795506</t>
  </si>
  <si>
    <t>NCT03952559</t>
  </si>
  <si>
    <t>NCT04718870</t>
  </si>
  <si>
    <t>NCT05388760</t>
  </si>
  <si>
    <t>PMID: 31076476</t>
  </si>
  <si>
    <t>PMID: 31081565</t>
  </si>
  <si>
    <t>PMID: 31764962</t>
  </si>
  <si>
    <t>PMID: 32574587</t>
  </si>
  <si>
    <t>PMID: 32893393</t>
  </si>
  <si>
    <t>PMID: 32969489</t>
  </si>
  <si>
    <t>PMID: 32981097</t>
  </si>
  <si>
    <t>PMID: 36038984</t>
  </si>
  <si>
    <t>PMID: 36116481</t>
  </si>
  <si>
    <t>PMID: 36529811</t>
  </si>
  <si>
    <t>PMID: 37300760</t>
  </si>
  <si>
    <t>PMID: 37722926</t>
  </si>
  <si>
    <t>PMID: 37924282</t>
  </si>
  <si>
    <t>PMID: 38348724</t>
  </si>
  <si>
    <t>PMID: 38206678</t>
  </si>
  <si>
    <t>NCT05031754</t>
  </si>
  <si>
    <t>PMID: 36754548</t>
  </si>
  <si>
    <t>https://pubmed.ncbi.nlm.nih.gov/35617974</t>
  </si>
  <si>
    <t>https://clinicaltrials.gov/study/NCT03795506</t>
  </si>
  <si>
    <t>https://clinicaltrials.gov/study/NCT03952559</t>
  </si>
  <si>
    <t>https://clinicaltrials.gov/study/NCT04718870</t>
  </si>
  <si>
    <t>https://clinicaltrials.gov/study/NCT05388760</t>
  </si>
  <si>
    <t>https://pubmed.ncbi.nlm.nih.gov/31076476</t>
  </si>
  <si>
    <t>https://pubmed.ncbi.nlm.nih.gov/31081565</t>
  </si>
  <si>
    <t>https://pubmed.ncbi.nlm.nih.gov/31764962</t>
  </si>
  <si>
    <t>https://pubmed.ncbi.nlm.nih.gov/32574587</t>
  </si>
  <si>
    <t>https://pubmed.ncbi.nlm.nih.gov/32893393</t>
  </si>
  <si>
    <t>https://pubmed.ncbi.nlm.nih.gov/32969489</t>
  </si>
  <si>
    <t>https://pubmed.ncbi.nlm.nih.gov/32981097</t>
  </si>
  <si>
    <t>https://pubmed.ncbi.nlm.nih.gov/36038984</t>
  </si>
  <si>
    <t>https://pubmed.ncbi.nlm.nih.gov/36116481</t>
  </si>
  <si>
    <t>https://pubmed.ncbi.nlm.nih.gov/36529811</t>
  </si>
  <si>
    <t>https://pubmed.ncbi.nlm.nih.gov/37300760</t>
  </si>
  <si>
    <t>https://pubmed.ncbi.nlm.nih.gov/37722926</t>
  </si>
  <si>
    <t>https://pubmed.ncbi.nlm.nih.gov/37924282</t>
  </si>
  <si>
    <t>https://pubmed.ncbi.nlm.nih.gov/38348724/</t>
  </si>
  <si>
    <t>https://pubmed.ncbi.nlm.nih.gov/38206678/</t>
  </si>
  <si>
    <t>https://clinicaltrials.gov/study/NCT05031754</t>
  </si>
  <si>
    <t>https://pubmed.ncbi.nlm.nih.gov/36754548</t>
  </si>
  <si>
    <t>International Society of Pediatric Dermatology (ISPD) | British Society for Paediatric Dermatology (BSPD)</t>
  </si>
  <si>
    <t>https://wcpd2021.com/wp-content/uploads/2021/09/WCPD2021-FINAL-PROGRAMMEv3.pdf</t>
  </si>
  <si>
    <t>European Society for Pediatric Dermatology (ESPD)</t>
  </si>
  <si>
    <t>https://www.espd.info/espd2024/congress-programme-2024</t>
  </si>
  <si>
    <t>https://www.espd.info/espd2023/programme</t>
  </si>
  <si>
    <t>https://www.espd.info/espd2022/espd-2022-programme</t>
  </si>
  <si>
    <t>https://www.espd.info/espd2021/programme2021</t>
  </si>
  <si>
    <t>https://www.espd.info/events/past-meetings/espd2019/programme</t>
  </si>
  <si>
    <t>British Society for Paediatric and Adolescent Dermatology (BSPAD)</t>
  </si>
  <si>
    <t>https://www.showsbee.com/fairs/BSPAD-Annual-Meeting.html</t>
  </si>
  <si>
    <t>https://academic.oup.com/bjd/issue/190/Supplement_1?login=false</t>
  </si>
  <si>
    <t>https://bspad.co.uk/british-society-for-paediatric-and-adolescent-dermatology-annual-meeting-2022/</t>
  </si>
  <si>
    <t>https://bspad.co.uk/app/uploads/2023/01/BSPD-Programme-2019.pdf</t>
  </si>
  <si>
    <t>NHS Greater Glasgow and Clyde</t>
  </si>
  <si>
    <t>https://www.clinicalguidelines.scot.nhs.uk/nhsggc-guidelines/nhsggc-guidelines/dermatology/management-of-atopic-eczema-in-children/</t>
  </si>
  <si>
    <t>https://www.nice.org.uk/guidance/cg57/resources/atopic-eczema-in-under-12s-diagnosis-and-management-pdf-975512529349</t>
  </si>
  <si>
    <t>European Task Force on Atopic Dermatitis | European Academy of Dermatology and Venereology Eczema Task Force</t>
  </si>
  <si>
    <t>https://eprints.whiterose.ac.uk/168442/</t>
  </si>
  <si>
    <t>https://academic.oup.com/bjd/article/180/6/1312/6731158</t>
  </si>
  <si>
    <t>https://onlinelibrary.wiley.com/doi/full/10.1111/bjd.14816</t>
  </si>
  <si>
    <t>https://academic.oup.com/bjd/article/174/1/24/6616636</t>
  </si>
  <si>
    <t>Atopic Dermatitis | Paediatric Focus</t>
  </si>
  <si>
    <t>https://www.eos.org.uk/</t>
  </si>
  <si>
    <t>http://www.nottinghameczema.org.uk/</t>
  </si>
  <si>
    <t>https://www.parentsforeczemaresearch.com/</t>
  </si>
  <si>
    <t>Singapore</t>
  </si>
  <si>
    <t>https://www.ispedderm.com/</t>
  </si>
  <si>
    <t>Czech Republic</t>
  </si>
  <si>
    <t>https://www.espd.info/</t>
  </si>
  <si>
    <t>https://bspad.co.uk/</t>
  </si>
  <si>
    <t>Dermatitis, Atopic | Eczema | Lebrikizumab</t>
  </si>
  <si>
    <t>Atopic Dermatitis | Lebrikizumab</t>
  </si>
  <si>
    <t>https://www.businesswire.com/news/home/20231011683203/en/Temtokibart-achieves-First-Subject-First-Treatment-FSFT-milestone-in-Phase-2b-trial</t>
  </si>
  <si>
    <t>Atopic Dermatitis | Temtokibart | LEO 138559</t>
  </si>
  <si>
    <t>N/A</t>
  </si>
  <si>
    <t>Temtokibart</t>
  </si>
  <si>
    <t>https://www.allergyuk.org/</t>
  </si>
  <si>
    <t>http://www.skinconditionscampaignscotland.org/</t>
  </si>
  <si>
    <t>http://www.eczemascotland.org/</t>
  </si>
  <si>
    <t>https://astar-register.org/</t>
  </si>
  <si>
    <t>https://www.discoveryiod.org.uk/</t>
  </si>
  <si>
    <t>https://web.archive.org/web/20210416200855/http://sdns.co.uk/</t>
  </si>
  <si>
    <t>https://web.archive.org/web/20220930052340/http://www.irishdermatologynurses.ie/</t>
  </si>
  <si>
    <t>https://www.kingsfund.org.uk/</t>
  </si>
  <si>
    <t>https://www.bad.org.uk/derm_groups_charity/dowling-club/</t>
  </si>
  <si>
    <t>http://www.badbir.org/</t>
  </si>
  <si>
    <t>Childhood Eczema/ Infantile Eczema/ Baby Eczema/ Paediatric Eczema</t>
  </si>
  <si>
    <t>Childhood Atopic Dermatitis/ Infantile Atopic Dermatitis/ Baby Atopic Dermatitis/ Paediatric Atopic Dermatitis</t>
  </si>
  <si>
    <t>Childhood Atopic Diseases/ Paediatric Atopic Diseases</t>
  </si>
  <si>
    <t>Teledermatology</t>
  </si>
  <si>
    <t>Artificial Intelligence</t>
  </si>
  <si>
    <t>Chronic-Relapsing Skin Disorder</t>
  </si>
  <si>
    <t>Biologics</t>
  </si>
  <si>
    <t>OX40</t>
  </si>
  <si>
    <t>Interleukin-4/ IL-4</t>
  </si>
  <si>
    <t>Interleukin-13/ IL-13</t>
  </si>
  <si>
    <t>Pruritic Inflammatory Skin Disorder</t>
  </si>
  <si>
    <t>Dupilumab Occular Issues / Opthalmic Side Effects</t>
  </si>
  <si>
    <t>Biologic Occular Issues</t>
  </si>
  <si>
    <t>Skin of Colour</t>
  </si>
  <si>
    <t>Lebrikizumab/ Ebgylss</t>
  </si>
  <si>
    <t>Brodalumab/ Kyntheum</t>
  </si>
  <si>
    <t>Atopic Dermatitis Occular Issues</t>
  </si>
  <si>
    <t>Activity_Title</t>
  </si>
  <si>
    <t>Disease_Category</t>
  </si>
  <si>
    <t>https://ga2len-adcare.net/</t>
  </si>
  <si>
    <t>Eczema | Paediatric Dermatology</t>
  </si>
  <si>
    <t>https://bwc.nhs.uk/dermatology/</t>
  </si>
  <si>
    <t>Eczema | Psoriasis</t>
  </si>
  <si>
    <t>https://www.kingedwardvii.co.uk/services/dermatology</t>
  </si>
  <si>
    <t>https://www.phoenixhospitalgroup.com/our-services/dermatology/</t>
  </si>
  <si>
    <t>https://www.stjohnsdermacademy.com/about</t>
  </si>
  <si>
    <t>https://instituteofdermatologists.ie/</t>
  </si>
  <si>
    <t>https://belfastskinclinic.com/</t>
  </si>
  <si>
    <t>Clinic Type</t>
  </si>
  <si>
    <t>https://onewelbeck.com/dermatology-allergy/our-team/dermatology-team/</t>
  </si>
  <si>
    <t>https://www.birminghamdermatologyclinic.co.uk/skin-treatments/skin-conditions/</t>
  </si>
  <si>
    <t>https://www.cadoganclinic.com/skin-clinic-london/</t>
  </si>
  <si>
    <t>https://cedarsderm.co.uk/</t>
  </si>
  <si>
    <t>http://skincanceruk.com/general-dermatology/</t>
  </si>
  <si>
    <t>https://dermaperfect.co.uk/about-dermaperfect/</t>
  </si>
  <si>
    <t>Dermatology | Psoriasis</t>
  </si>
  <si>
    <t>https://www.dermatologyconsulting.co.uk/</t>
  </si>
  <si>
    <t>https://www.ashteadhospital.co.uk/treatments/dermatology</t>
  </si>
  <si>
    <t>https://www.circlehealthgroup.co.uk/hospitals/bath-clinic/private-dermatology-bath</t>
  </si>
  <si>
    <t>https://www.beaconparkhospital.co.uk/specialists?query=dermatology</t>
  </si>
  <si>
    <t>https://www.circlehealthgroup.co.uk/hospitals/the-beaumont-hospital/dermatology</t>
  </si>
  <si>
    <t>https://www.benendenhospital.org.uk/treatments-services/dermatology/eczema-treatment/</t>
  </si>
  <si>
    <t>https://www.circlehealthgroup.co.uk/hospitals/bishops-wood-hospital/dermatology</t>
  </si>
  <si>
    <t>https://www.nuffieldhealth.com/hospitals/bournemouth/treatments?category=dermatology#filters</t>
  </si>
  <si>
    <t>https://www.nuffieldhealth.com/hospitals/brentwood/treatments?category=dermatology#filters</t>
  </si>
  <si>
    <t>https://www.nuffieldhealth.com/hospitals/brighton/treatments?category=dermatology#filters</t>
  </si>
  <si>
    <t>https://www.nuffieldhealth.com/hospitals/bristol/treatments?category=dermatology#filters</t>
  </si>
  <si>
    <t>https://www.nuffieldhealth.com/hospitals/cambridge/treatments?category=dermatology#filters</t>
  </si>
  <si>
    <t>http://www.candoverclinic.com/clinical-services/dermatology/</t>
  </si>
  <si>
    <t>https://chelwestprivatecare.co.uk/services/dermatology/</t>
  </si>
  <si>
    <t>https://www.circlehealthgroup.co.uk/consultants/sandy-flann</t>
  </si>
  <si>
    <t>https://www.nuffieldhealth.com/hospitals/cheltenham/treatments?category=dermatology#filters</t>
  </si>
  <si>
    <t>https://www.nuffieldhealth.com/hospitals/chester/treatments?category=dermatology#filters</t>
  </si>
  <si>
    <t>https://www.nuffieldhealth.com/hospitals/chichester/treatments?category=dermatology#filters</t>
  </si>
  <si>
    <t>https://www.hcahealthcare.co.uk/facilities/the-lister-hospital/units-and-teams/chiswick-medical-centre</t>
  </si>
  <si>
    <t>https://www.circlehealthgroup.co.uk/hospitals/circle-reading-hospital/dermatology</t>
  </si>
  <si>
    <t>https://clevelandcliniclondon.uk/clinical-institutes/medical-subspecialties/dermatology</t>
  </si>
  <si>
    <t>https://www.clinicalondon.co.uk/consultants/#dermatology-consultants</t>
  </si>
  <si>
    <t>https://www.cromwellhospital.com/services-specialties/dermatology/</t>
  </si>
  <si>
    <t>https://www.nuffieldhealth.com/hospitals/derby/treatments?category=dermatology#filters</t>
  </si>
  <si>
    <t>https://www.duchyhospital.co.uk/treatments/dermatology</t>
  </si>
  <si>
    <t>https://www.euxtonhallhospital.co.uk/specialists?query=Dermatology</t>
  </si>
  <si>
    <t>https://www.nuffieldhealth.com/hospitals/exeter/treatments?category=dermatology#filters</t>
  </si>
  <si>
    <t>https://www.exetermedical.co.uk/specialists?query=Dermatology</t>
  </si>
  <si>
    <t>https://www.fitzwilliamhospital.co.uk/specialists?query=Dermatology</t>
  </si>
  <si>
    <t>https://www.fulwoodhallhospital.co.uk/specialists?query=Dermatology</t>
  </si>
  <si>
    <t>https://www.hcahealthcare.co.uk/facilities/the-wellington-hospital/our-centres/golders-green-outpatients-and-diagnostics-centre</t>
  </si>
  <si>
    <t>https://www.circlehealthgroup.co.uk/hospitals/goring-hall-hospital/private-skin-clinic-worthing</t>
  </si>
  <si>
    <t>https://www.nuffieldhealth.com/hospitals/guildford/treatments?category=dermatology#filters</t>
  </si>
  <si>
    <t>https://guysandstthomasprivatehealthcare.co.uk/services/dermatology/</t>
  </si>
  <si>
    <t>https://www.nuffieldhealth.com/hospitals/haywards-heath/treatments?category=dermatology#filters</t>
  </si>
  <si>
    <t>https://www.circlehealthgroup.co.uk/consultants?distance=15&amp;hospital=Hendon%20Hospital&amp;hospitalId=919db64f-f7db-41b5-a748-d4093f475335&amp;treatment=Dermatology&amp;treatmentId=498c24bd-cd97-48d8-8324-643bb8b8296c&amp;sort=score|Descending&amp;page=1&amp;perPage=18</t>
  </si>
  <si>
    <t>https://www.nuffieldhealth.com/hospitals/hereford/treatments?category=dermatology#filters</t>
  </si>
  <si>
    <t>https://www.highgatehospital.co.uk/services/dermatology/</t>
  </si>
  <si>
    <t>https://imperialprivatehealthcare.co.uk/consultants-directory/?cn-cat-in%5B%5D=65&amp;cn-cat-in%5B%5D=&amp;cn-cat-in%5B%5D=&amp;cn-cat-in%5B%5D=&amp;cn-s=</t>
  </si>
  <si>
    <t>https://www.nuffieldhealth.com/hospitals/ipswich/treatments?category=dermatology#filters</t>
  </si>
  <si>
    <t>https://kims.org.uk/consultants/?search=&amp;related_service=1727&amp;related_treatment=&amp;location=#results</t>
  </si>
  <si>
    <t>https://www.circlehealthgroup.co.uk/consultants/sohail-mansoor</t>
  </si>
  <si>
    <t>https://kingstonprivatehealth.co.uk/specialities/dermatology/</t>
  </si>
  <si>
    <t>https://www.nuffieldhealth.com/hospitals/leeds/treatments?category=dermatology#filters</t>
  </si>
  <si>
    <t>https://www.nuffieldhealth.com/hospitals/leicester/treatments?category=dermatology#filters</t>
  </si>
  <si>
    <t>https://www.hcahealthcare.co.uk/facilities/london-bridge-hospital</t>
  </si>
  <si>
    <t>https://www.circlehealthgroup.co.uk/hospitals/mount-alvernia-hospital/dermatology</t>
  </si>
  <si>
    <t>https://www.mountstuarthospital.co.uk/treatments/dermatology</t>
  </si>
  <si>
    <t>https://www.newhallhospital.co.uk/treatments/dermatology</t>
  </si>
  <si>
    <t>https://www.nuffieldhealth.com/hospitals/newcastle-upon-tyne/treatments?category=dermatology#filters</t>
  </si>
  <si>
    <t>https://www.northdownshospital.co.uk/treatments/dermatology</t>
  </si>
  <si>
    <t>https://www.nuffieldhealth.com/hospitals/north-staffordshire/treatments?category=dermatology#filters</t>
  </si>
  <si>
    <t>https://www.nuffieldhealth.com/hospitals/nuffield-health-at-st-bartholomews-hospital/treatments?category=dermatology#filters</t>
  </si>
  <si>
    <t>https://www.oaklands-hospital.co.uk/specialists?query=Dermatology</t>
  </si>
  <si>
    <t>https://www.oakshospital.co.uk/treatments/dermatology</t>
  </si>
  <si>
    <t>https://www.onehealthcare.co.uk/treatment-category/hatfield/dermatology-hatfield/</t>
  </si>
  <si>
    <t>https://www.nuffieldhealth.com/hospitals/oxford/treatments?category=dermatology#filters</t>
  </si>
  <si>
    <t>https://www.parkhillhospital.co.uk/specialists?query=Dermatology</t>
  </si>
  <si>
    <t>https://www.pinehillhospital.co.uk/specialists?query=dermatology</t>
  </si>
  <si>
    <t>https://www.nuffieldhealth.com/hospitals/plymouth/treatments?category=dermatology#filters</t>
  </si>
  <si>
    <t>https://www.renacreshospital.co.uk/specialists?query=dermatology</t>
  </si>
  <si>
    <t>https://www.rivershospital.co.uk/specialists?query=Dermatology</t>
  </si>
  <si>
    <t>https://www.rowleyhallhospital.co.uk/specialists?query=Dermatology</t>
  </si>
  <si>
    <t>https://www.royalfreeprivatepatients.com/specialties/dermatology/</t>
  </si>
  <si>
    <t>https://www.circlehealthgroup.co.uk/hospitals/sarum-road-hospital/dermatology</t>
  </si>
  <si>
    <t>https://www.circlehealthgroup.co.uk/hospitals/shirley-oaks-hospital/dermatology</t>
  </si>
  <si>
    <t>https://www.nuffieldhealth.com/hospitals/shrewsbury/treatments?category=dermatology#filters</t>
  </si>
  <si>
    <t>https://www.spirehealthcare.com/spire-alexandra-hospital/treatments/skin-treatments/</t>
  </si>
  <si>
    <t>https://www.spirehealthcare.com/spire-bristol-hospital/treatments/a-z/eczema-and-dermatitis-treatment/</t>
  </si>
  <si>
    <t>https://www.spirehealthcare.com/spire-bushey-diagnostic-centre/home/</t>
  </si>
  <si>
    <t>https://www.spirehealthcare.com/spire-bushey-hospital/</t>
  </si>
  <si>
    <t>https://www.spirehealthcare.com/spire-cambridge-lea-hospital/treatments/skin-treatments/</t>
  </si>
  <si>
    <t>https://www.spirehealthcare.com/spire-cheshire-hospital/treatments/skin-treatments/</t>
  </si>
  <si>
    <t>https://www.spirehealthcare.com/spire-clare-park-hospital/treatments/skin-treatments/</t>
  </si>
  <si>
    <t>https://www.spirehealthcare.com/spire-claremont-hospital/treatments-and-services/a-z/eczema-and-dermatitis-treatment/</t>
  </si>
  <si>
    <t>https://www.spirehealthcare.com/spire-dunedin-hospital/treatments/skin-treatments/</t>
  </si>
  <si>
    <t>https://www.spirehealthcare.com/spire-elland-hospital/treatments/skin-treatments/</t>
  </si>
  <si>
    <t>https://www.spirehealthcare.com/spire-fylde-coast-hospital/treatments/skin-treatments/</t>
  </si>
  <si>
    <t>https://www.spirehealthcare.com/spire-gatwick-park-hospital/treatments/skin-treatments/</t>
  </si>
  <si>
    <t>https://www.spirehealthcare.com/spire-harpenden-hospital/treatments/skin-treatments/</t>
  </si>
  <si>
    <t>https://www.spirehealthcare.com/spire-hartswood-hospital/treatments/skin-treatments/</t>
  </si>
  <si>
    <t>https://www.spirehealthcare.com/spire-hesslewood-clinic/home/</t>
  </si>
  <si>
    <t>https://www.spirehealthcare.com/spire-hull-and-east-riding-hospital/treatments/a-z/eczema-and-dermatitis/</t>
  </si>
  <si>
    <t>https://www.spirehealthcare.com/spire-kenmore-clinic/</t>
  </si>
  <si>
    <t>https://www.spirehealthcare.com/spire-leeds-hospital/consultants/profiles/?filterConsultantType=consultant&amp;filterTreatmentSpeciality=Dermatology&amp;filterLocation=&amp;filterName=&amp;filterByBookable=false</t>
  </si>
  <si>
    <t>https://www.spirehealthcare.com/spire-leicester-hospital/treatments/skin-treatments/our-dermatology-consultants/</t>
  </si>
  <si>
    <t>https://www.spirehealthcare.com/spire-little-aston-hospital/treatments/a-z/eczema-and-dermatitis-treatment/</t>
  </si>
  <si>
    <t>https://www.spirehealthcare.com/spire-liverpool-hospital/treatments/skin-treatments/</t>
  </si>
  <si>
    <t>https://www.spirehealthcare.com/spire-london-east-hospital/treatments/skin-treatments/</t>
  </si>
  <si>
    <t>https://www.spirehealthcare.com/spire-manchester-clinic-hale/home/</t>
  </si>
  <si>
    <t>https://www.spirehealthcare.com/spire-manchester-hospital/treatments/skin-treatments/</t>
  </si>
  <si>
    <t>https://www.spirehealthcare.com/spire-methley-park-hospital/treatments/skin-treatments/</t>
  </si>
  <si>
    <t>https://www.spirehealthcare.com/spire-norwich-hospital/treatments/skin-treatments/</t>
  </si>
  <si>
    <t>https://www.spirehealthcare.com/spire-nottingham-hospital/treatments/skin-treatments/</t>
  </si>
  <si>
    <t>https://www.spirehealthcare.com/spire-parkway-hospital/treatments/skin-treatments/</t>
  </si>
  <si>
    <t>https://www.spirehealthcare.com/spire-portsmouth-hospital/treatments/skin-treatments/</t>
  </si>
  <si>
    <t>https://www.spirehealthcare.com/spire-regency-hospital-macclesfield/treatments/skin-treatments/meet-the-team/</t>
  </si>
  <si>
    <t>https://www.spirehealthcare.com/spire-south-bank-hospital/treatments/skin-treatments/</t>
  </si>
  <si>
    <t>https://www.spirehealthcare.com/spire-southampton-hospital/treatments/skin-treatments/</t>
  </si>
  <si>
    <t>https://www.spirehealthcare.com/spire-st-anthonys-hospital/treatments/skin-treatments/</t>
  </si>
  <si>
    <t>https://www.spirehealthcare.com/spire-tarporley-clinic/home/</t>
  </si>
  <si>
    <t>https://www.spirehealthcare.com/spire-thames-valley-hospital/consultants/profiles/?filterConsultantType=consultant&amp;filterTreatmentSpeciality=Dermatology&amp;filterLocation=&amp;filterName=&amp;filterByBookable=false</t>
  </si>
  <si>
    <t>https://www.spirehealthcare.com/spire-tunbridge-wells-hospital/treatments/skin-treatments/</t>
  </si>
  <si>
    <t>https://www.spirehealthcare.com/spire-washington-hospital/treatments/skin-treatments/meet-the-team-dermatologists/</t>
  </si>
  <si>
    <t>https://www.spirehealthcare.com/spire-wellesley-hospital/treatments/skin-treatments/</t>
  </si>
  <si>
    <t>https://www.ramsayhealth.co.uk/hospitals/springfield-hospital/specialists?freeText=dermatology&amp;term=</t>
  </si>
  <si>
    <t>https://www.circlehealthgroup.co.uk/specialities/dermatology?hospitalId=622e25f7-b996-4a2c-b056-d6b3ab9a34cf</t>
  </si>
  <si>
    <t>https://www.circlehealthgroup.co.uk/hospitals/syon-clinic/dermatology</t>
  </si>
  <si>
    <t>https://www.nuffieldhealth.com/hospitals/taunton/treatments?category=dermatology#filters</t>
  </si>
  <si>
    <t>https://www.nuffieldhealth.com/hospitals/tees/treatments?category=dermatology#filters</t>
  </si>
  <si>
    <t>https://www.teesvalleyhospital.co.uk/treatments/dermatology</t>
  </si>
  <si>
    <t>https://www.circlehealthgroup.co.uk/consultants?nationalSpecialityId=498c24bd-cd97-48d8-8324-643bb8b8296c&amp;hospitalId=deb71670-8355-4052-81ae-74a0bee62af0</t>
  </si>
  <si>
    <t>https://www.circlehealthgroup.co.uk/hospitals/the-beardwood-hospital/dermatology</t>
  </si>
  <si>
    <t>https://www.berkshireindependenthospital.co.uk/treatments/dermatology</t>
  </si>
  <si>
    <t>https://www.circlehealthgroup.co.uk/hospitals/the-blackheath-hospital/private-dermatology-greenwich</t>
  </si>
  <si>
    <t>https://www.circlehealthgroup.co.uk/specialities/dermatology?hospitalId=d6e3345c-ca03-4ef6-925f-c941f13c3971</t>
  </si>
  <si>
    <t>https://www.circlehealthgroup.co.uk/hospitals/the-chaucer-hospital/private-dermatology-canterbury</t>
  </si>
  <si>
    <t>https://www.thecherwellhospital.co.uk/treatments/dermatology</t>
  </si>
  <si>
    <t>https://www.circlehealthgroup.co.uk/consultants?nationalSpecialityId=498c24bd-cd97-48d8-8324-643bb8b8296c&amp;hospitalId=6e36fd62-2da2-4ecd-8ed7-ab10c85a71c4</t>
  </si>
  <si>
    <t>https://www.hcahealthcare.co.uk/facilities/the-christie-private-care</t>
  </si>
  <si>
    <t>https://www.circlehealthgroup.co.uk/consultants?nationalSpecialityId=498c24bd-cd97-48d8-8324-643bb8b8296c&amp;hospitalId=74c11d79-dc0b-4cda-900e-3ebeb7206905</t>
  </si>
  <si>
    <t>https://www.circlehealthgroup.co.uk/hospitals/the-droitwich-spa-hospital/private-dermatology-droitwich</t>
  </si>
  <si>
    <t>https://www.circlehealthgroup.co.uk/consultants?distance=15&amp;hospital=The%20Duchy%20Hospital&amp;hospitalId=709f6b25-e3e1-480c-84a7-4ed44f6573b8&amp;treatment=Dermatology&amp;treatmentId=498c24bd-cd97-48d8-8324-643bb8b8296c&amp;sort=score|Descending&amp;page=1&amp;perPage=18</t>
  </si>
  <si>
    <t>https://www.circlehealthgroup.co.uk/consultants/janet-elizabeth-holder</t>
  </si>
  <si>
    <t>https://www.circlehealthgroup.co.uk/hospitals/the-harbour-hospital/private-dermatology-poole</t>
  </si>
  <si>
    <t>https://www.hcahealthcare.co.uk/facilities/the-harley-street-clinic</t>
  </si>
  <si>
    <t>https://www.circlehealthgroup.co.uk/hospitals/the-highfield-hospital/private-dermatology-rochdale</t>
  </si>
  <si>
    <t>https://www.theholly.com/services/general-medicine/dermatology/</t>
  </si>
  <si>
    <t>https://www.circlehealthgroup.co.uk/hospitals/the-huddersfield-hospital/dermatology</t>
  </si>
  <si>
    <t>https://www.circlehealthgroup.co.uk/consultants?hospitalId=fd3ac1ab-2ba2-42c5-b8c7-06ebaadbaccf&amp;page=1&amp;perPage=18</t>
  </si>
  <si>
    <t>https://www.circlehealthgroup.co.uk/hospitals/the-lincoln-hospital/dermatology</t>
  </si>
  <si>
    <t>https://www.hcahealthcare.co.uk/facilities/the-lister-hospital</t>
  </si>
  <si>
    <t>https://www.circlehealthgroup.co.uk/hospitals/the-london-independent-hospital/private-dermatology-clinic-east-london</t>
  </si>
  <si>
    <t>https://www.circlehealthgroup.co.uk/hospitals/the-manor-hospital/private-dermatology-bedford</t>
  </si>
  <si>
    <t>https://www.themedicalchambers.com/specialties/dermatology</t>
  </si>
  <si>
    <t>https://www.circlehealthgroup.co.uk/hospitals/the-meriden-hospital/private-dermatology-coventry</t>
  </si>
  <si>
    <t>https://themontefiorehospital.co.uk/our-consultants/dermatology</t>
  </si>
  <si>
    <t>https://www.circlehealthgroup.co.uk/hospitals/the-park-hospital/private-dermatology-nottingham</t>
  </si>
  <si>
    <t>https://www.hcahealthcare.co.uk/facilities/the-portland-hospital</t>
  </si>
  <si>
    <t>https://www.hcahealthcare.co.uk/facilities/the-princess-grace-hospital</t>
  </si>
  <si>
    <t>https://www.circlehealthgroup.co.uk/hospitals/the-princess-margaret-hospital/private-skin-care-and-dermatology-windsor</t>
  </si>
  <si>
    <t>https://www.circlehealthgroup.co.uk/specialities/dermatology?hospitalId=d99a3c2c-9ffd-4221-95ae-8f5c2d1e0d0b</t>
  </si>
  <si>
    <t>https://www.theprivateclinic.co.uk/treatments/dermatology-and-conditions/</t>
  </si>
  <si>
    <t>https://www.circlehealthgroup.co.uk/hospitals/the-ridgeway-hospital</t>
  </si>
  <si>
    <t>https://www.circlehealthgroup.co.uk/hospitals/the-runnymede-hospital/dermatology</t>
  </si>
  <si>
    <t>https://www.circlehealthgroup.co.uk/hospitals/the-saxon-clinic/private-skin-clinic-milton-keynes</t>
  </si>
  <si>
    <t>https://www.circlehealthgroup.co.uk/hospitals/the-shelburne-hospital</t>
  </si>
  <si>
    <t>https://www.circlehealthgroup.co.uk/hospitals/the-sloane-hospital?hospitalId=f0c39daa-f4ab-4996-a2ab-67d302eb06b5</t>
  </si>
  <si>
    <t>https://www.theskinclinic.com/</t>
  </si>
  <si>
    <t>https://www.hcahealthcare.co.uk/facilities/the-wellington-hospital</t>
  </si>
  <si>
    <t>https://www.hcahealthcare.co.uk/facilities/the-wellington-hospital/our-centres/the-wellington-hospital-elstree-waterfront</t>
  </si>
  <si>
    <t>https://www.hcahealthcare.co.uk/facilities/the-wilmslow-hospital</t>
  </si>
  <si>
    <t>https://www.circlehealthgroup.co.uk/hospitals/the-winterbourne-hospital/private-dermatology-dorchester</t>
  </si>
  <si>
    <t>https://www.circlehealthgroup.co.uk/hospitals/thornbury-hospital/dermatology</t>
  </si>
  <si>
    <t>https://www.circlehealthgroup.co.uk/hospitals/three-shires-hospital/private-dermatology-northampton</t>
  </si>
  <si>
    <t>https://www.nuffieldhealth.com/hospitals/tunbridge-wells/treatments?category=dermatology#filters</t>
  </si>
  <si>
    <t>https://www.nuffieldhealth.com/hospitals/warwickshire/treatments?category=dermatology#filters</t>
  </si>
  <si>
    <t>https://www.nuffieldhealth.com/hospitals/wessex/treatments?category=dermatology#filters</t>
  </si>
  <si>
    <t>https://www.winfieldhospital.co.uk/treatments/dermatology</t>
  </si>
  <si>
    <t>https://www.nuffieldhealth.com/hospitals/woking/treatments/dermatological-surgery</t>
  </si>
  <si>
    <t>https://www.nuffieldhealth.com/hospitals/wolverhampton/treatments?category=dermatology#filters</t>
  </si>
  <si>
    <t>https://www.woodlandhospital.co.uk/treatments/dermatology</t>
  </si>
  <si>
    <t>https://www.circlehealthgroup.co.uk/hospitals/woodlands-hospital/private-skin-clinic-darlington</t>
  </si>
  <si>
    <t>https://www.woodthorpehospital.co.uk/treatments/dermatology</t>
  </si>
  <si>
    <t>https://www.nuffieldhealth.com/hospitals/york/treatments?category=dermatology#filters</t>
  </si>
  <si>
    <t>https://hje.org.uk/services/dermatology-unit/about/</t>
  </si>
  <si>
    <t>https://www.theharleystreetdermatologyclinic.co.uk/harley-street-dermatology-clinic/our-team/</t>
  </si>
  <si>
    <t>https://londondermatologyclinic.com/</t>
  </si>
  <si>
    <t>https://londonmedical.co.uk/dermatology/</t>
  </si>
  <si>
    <t>https://www.ouh.nhs.uk/privatehealthcare/services/medicine-rehab-cardiac/dermatology/consultants.aspx</t>
  </si>
  <si>
    <t>https://www.sknclinics.co.uk/clinics/london/barnet-high-street</t>
  </si>
  <si>
    <t>https://www.sknclinics.co.uk/clinics/the-midlands/birmingham-harborne-road</t>
  </si>
  <si>
    <t>https://www.sknclinics.co.uk/clinics/the-midlands/birmingham-temple-street</t>
  </si>
  <si>
    <t>https://www.sknclinics.co.uk/clinics/the-south/bournemouth-christchurch-road</t>
  </si>
  <si>
    <t>https://www.sknclinics.co.uk/clinics/the-south/brentwood-new-road</t>
  </si>
  <si>
    <t>https://www.sknclinics.co.uk/clinics/the-south/brighton-jubilee-street</t>
  </si>
  <si>
    <t>https://www.sknclinics.co.uk/clinics/the-south/bristol-clifton-whiteladiesroad</t>
  </si>
  <si>
    <t>https://www.sknclinics.co.uk/clinics/the-midlands/cambridge-brooklands-avenue</t>
  </si>
  <si>
    <t>https://www.sknclinics.co.uk/clinics/the-south/chelmsford-navigation-yard</t>
  </si>
  <si>
    <t>https://www.sknclinics.co.uk/clinics/the-midlands/cheltenham-montpellier-walk</t>
  </si>
  <si>
    <t>https://www.sknclinics.co.uk/clinics/the-north-and-scotland/chester-vicars-lane</t>
  </si>
  <si>
    <t>https://www.sknclinics.co.uk/clinics/the-south/epsom-rowan-house</t>
  </si>
  <si>
    <t>https://www.sknclinics.co.uk/clinics/the-south/esher-high-street</t>
  </si>
  <si>
    <t>https://www.sknclinics.co.uk/clinics/the-south/guildford-st-marys</t>
  </si>
  <si>
    <t>https://www.sknclinics.co.uk/clinics/the-south/haywards-heath-south-road</t>
  </si>
  <si>
    <t>https://www.sknclinics.co.uk/clinics/the-south/kent-bluewater</t>
  </si>
  <si>
    <t>https://www.sknclinics.co.uk/clinics/the-midlands/leamington-waterloo-place</t>
  </si>
  <si>
    <t>https://www.sknclinics.co.uk/clinics/the-north-and-scotland/leeds-street-lane</t>
  </si>
  <si>
    <t>https://www.sknclinics.co.uk/clinics/the-midlands/leicester-gallowtree-gate</t>
  </si>
  <si>
    <t>https://www.sknclinics.co.uk/clinics/the-north-and-scotland/liverpool-bold-street</t>
  </si>
  <si>
    <t>https://www.sknclinics.co.uk/clinics/london/london-canary-wharf</t>
  </si>
  <si>
    <t>https://www.sknclinics.co.uk/clinics/london/london-chiswick</t>
  </si>
  <si>
    <t>https://www.sknclinics.co.uk/clinics/london/clapham-lavender-hill</t>
  </si>
  <si>
    <t>https://www.sknclinics.co.uk/clinics/london/london-ealing-broadway</t>
  </si>
  <si>
    <t>https://www.sknclinics.co.uk/clinics/london/london-harley-street</t>
  </si>
  <si>
    <t>https://www.sknclinics.co.uk/clinics/london/harrow-station-road</t>
  </si>
  <si>
    <t>https://www.sknclinics.co.uk/clinics/london/london-holborn</t>
  </si>
  <si>
    <t>https://www.sknclinics.co.uk/clinics/london/muswell-hill</t>
  </si>
  <si>
    <t>https://www.sknclinics.co.uk/clinics/london/london-south-woodford</t>
  </si>
  <si>
    <t>https://www.sknclinics.co.uk/clinics/london/london-wall</t>
  </si>
  <si>
    <t>https://www.sknclinics.co.uk/clinics/the-south/maidenhead-st-lukes-road</t>
  </si>
  <si>
    <t>https://www.sknclinics.co.uk/clinics/the-north-and-scotland/manchester-albert-square</t>
  </si>
  <si>
    <t>https://www.sknclinics.co.uk/clinics/the-north-and-scotland/manchester-st-james-square</t>
  </si>
  <si>
    <t>https://www.sknclinics.co.uk/clinics/the-north-and-scotland/middlesbrough-james-cook</t>
  </si>
  <si>
    <t>https://www.sknclinics.co.uk/clinics/the-midlands/milton-keynes-the-hub</t>
  </si>
  <si>
    <t>https://www.sknclinics.co.uk/clinics/the-north-and-scotland/nantwich-welsh-row</t>
  </si>
  <si>
    <t>https://www.sknclinics.co.uk/clinics/the-north-and-scotland/newcastle-grey-street</t>
  </si>
  <si>
    <t>https://www.sknclinics.co.uk/clinics/the-midlands/northampton-cheyne-walk</t>
  </si>
  <si>
    <t>https://www.sknclinics.co.uk/clinics/the-midlands/norwich-unthank-road</t>
  </si>
  <si>
    <t>https://www.sknclinics.co.uk/clinics/the-midlands/nottingham-mapperley-park</t>
  </si>
  <si>
    <t>https://www.sknclinics.co.uk/clinics/the-south/plymouth-hyde-park</t>
  </si>
  <si>
    <t>https://www.sknclinics.co.uk/clinics/the-south/portsmouth-st-georges-square</t>
  </si>
  <si>
    <t>https://www.sknclinics.co.uk/clinics/the-south/reading-london-street</t>
  </si>
  <si>
    <t>https://www.sknclinics.co.uk/clinics/the-south/seven-oaks-london-road</t>
  </si>
  <si>
    <t>https://www.sknclinics.co.uk/clinics/the-north-and-scotland/sheffield-psalter-lane</t>
  </si>
  <si>
    <t>https://www.sknclinics.co.uk/clinics/the-south/southampton-east-street</t>
  </si>
  <si>
    <t>https://www.sknclinics.co.uk/clinics/the-south/watford-the-avenue</t>
  </si>
  <si>
    <t>https://www.sknclinics.co.uk/clinics/the-south/weybridge-baker-street</t>
  </si>
  <si>
    <t>https://www.sknclinics.co.uk/clinics/the-north-and-scotland/wilmslow-swan-street</t>
  </si>
  <si>
    <t>https://www.sknclinics.co.uk/clinics/the-south/windsor-peascod-street</t>
  </si>
  <si>
    <t>https://www.sknclinics.co.uk/clinics/the-midlands/wolverhampton-compton-road</t>
  </si>
  <si>
    <t>https://www.skincarenetwork.co.uk/dermatology/</t>
  </si>
  <si>
    <t>https://108harleystreet.co.uk/clinics/skin/skin-clinic-team/</t>
  </si>
  <si>
    <t>https://skinsurgeryclinic.co.uk/</t>
  </si>
  <si>
    <t>https://www.skin55.co.uk/</t>
  </si>
  <si>
    <t>https://www.stmichaelsclinic.co.uk/dermatology/</t>
  </si>
  <si>
    <t>https://thedermatologyclinic.london/</t>
  </si>
  <si>
    <t>https://thedevonshireclinic.co.uk/dermatologists-in-london/</t>
  </si>
  <si>
    <t>https://www.thelondonskinandhairclinic.com/find-a-dermatologist/</t>
  </si>
  <si>
    <t>https://www.westbournecentre.com/treatments/dermatology</t>
  </si>
  <si>
    <t>http://claroskinclinic.co.uk/index.html</t>
  </si>
  <si>
    <t>https://kingsbridgeprivatehospital.com/belfast/treatments-surgeries/outpatient-clinics/specialist-clinics/dermatology-clinic/</t>
  </si>
  <si>
    <t>https://www.hillsboroughprivateclinic.com/treatments/dermatology/</t>
  </si>
  <si>
    <t>https://ulsterindependentclinic.com/Specialism/dermatology/</t>
  </si>
  <si>
    <t>https://www.circlehealthgroup.co.uk/hospitals/albyn-hospital/private-dermatology-aberdeen</t>
  </si>
  <si>
    <t>https://www.nuffieldhealth.com/hospitals/glasgow/treatments?category=dermatology#filters</t>
  </si>
  <si>
    <t>https://www.circlehealthgroup.co.uk/hospitals/kings-park-hospital/dermatology</t>
  </si>
  <si>
    <t>https://rocprivateclinic.com/services/dermatology-and-mole-mapping/</t>
  </si>
  <si>
    <t>https://www.circlehealthgroup.co.uk/hospitals/ross-hall-clinic-braehead/private-dermatology-glasgow</t>
  </si>
  <si>
    <t>https://www.circlehealthgroup.co.uk/hospitals/ross-hall-hospital/dermatology</t>
  </si>
  <si>
    <t>https://www.spirehealthcare.com/spire-edinburgh-hospitals-murrayfield-and-shawfair-park/treatments/skin-treatments/</t>
  </si>
  <si>
    <t>https://www.edinburghclinic.com/services/dermatology/</t>
  </si>
  <si>
    <t>https://www.sknclinics.co.uk/clinics/the-north-and-scotland/aberdeen-union-street</t>
  </si>
  <si>
    <t>https://www.sknclinics.co.uk/clinics/the-north-and-scotland/edinburgh-hanover-street</t>
  </si>
  <si>
    <t>https://www.sknclinics.co.uk/clinics/the-north-and-scotland/glasgow-gordon-street</t>
  </si>
  <si>
    <t>https://clearskin.uk.com/</t>
  </si>
  <si>
    <t>https://www.dermatologyclinicwales.co.uk/</t>
  </si>
  <si>
    <t>https://www.nuffieldhealth.com/hospitals/cardiff-and-vale/treatments?category=dermatology#filters</t>
  </si>
  <si>
    <t>https://www.spirehealthcare.com/spire-cardiff-hospital/treatments/skin-treatments/</t>
  </si>
  <si>
    <t>https://www.spirehealthcare.com/spire-yale-chesney-court-outpatient-and-diagnostic-centre/home/</t>
  </si>
  <si>
    <t>https://www.spirehealthcare.com/spire-yale-hospital/treatments/skin-treatments/</t>
  </si>
  <si>
    <t>https://www.circlehealthgroup.co.uk/specialities/dermatology?hospitalId=38be1567-bae6-43db-a8bd-4b7be89d8f35</t>
  </si>
  <si>
    <t>https://diamondskincare.co.uk/</t>
  </si>
  <si>
    <t>https://www.pennantprivatemedical.co.uk/our-services/private-dermatologist/</t>
  </si>
  <si>
    <t>https://www.sknclinics.co.uk/clinics/the-midlands/cardiff-charles-street</t>
  </si>
  <si>
    <t>https://www.stjosephshospital.co.uk/treatments/specialities/dermatology/</t>
  </si>
  <si>
    <t>http://www.specialistskinclinic.uk/</t>
  </si>
  <si>
    <t>http://www.theeczemaclinic.co.uk/</t>
  </si>
  <si>
    <t>https://www.baggotstreetdermatology.ie/</t>
  </si>
  <si>
    <t>https://www.dermatologycork.ie/about-dermatology-cork</t>
  </si>
  <si>
    <t>http://www.beaumont.ie/dermatology</t>
  </si>
  <si>
    <t>https://www.stjames.ie/services/med/dermatology/</t>
  </si>
  <si>
    <t>https://www.aungierclinic.ie/dermatology-acne-treatment/</t>
  </si>
  <si>
    <t>https://www.beaconconsultantsclinic.com/practices-and-departments/dermatology/</t>
  </si>
  <si>
    <t>https://www.beaconhospital.ie/department-service/dermatology/</t>
  </si>
  <si>
    <t>https://www.blackrockhealth.com/treatments-procedures/dermatology</t>
  </si>
  <si>
    <t>https://www.bonsecours.ie/dublin/departments/dermatology1</t>
  </si>
  <si>
    <t>https://www.mater.ie/services/dermatology/</t>
  </si>
  <si>
    <t>https://www.materprivate.ie/our-services/dermatology</t>
  </si>
  <si>
    <t>https://www.stvincents.ie/clinics/dermatology-clinic/</t>
  </si>
  <si>
    <t>https://www.edenparkmedical.ie/skin-clinic</t>
  </si>
  <si>
    <t>https://www.geraldinemorrow.com/adult-dermatology-services</t>
  </si>
  <si>
    <t>https://www.kerryskinclinic.ie/</t>
  </si>
  <si>
    <t>https://www.leeclinicdermatology.ie/dermatology-cork/common-skin-conditions</t>
  </si>
  <si>
    <t>https://www.theadareclinic.ie/</t>
  </si>
  <si>
    <t>https://upmc.ie/services/dermatology</t>
  </si>
  <si>
    <t>https://www.dermasurge.co.uk/</t>
  </si>
  <si>
    <t>https://walkin-clinic.co.uk/dermatology</t>
  </si>
  <si>
    <t>https://skininspection.co.uk/general-dermatology/</t>
  </si>
  <si>
    <t>https://www.london-dermatology-centre.co.uk/</t>
  </si>
  <si>
    <t>https://dermconsult.co.uk/</t>
  </si>
  <si>
    <t>https://www.dermacore.co.uk/private-dermatology/</t>
  </si>
  <si>
    <t>https://www.dermareading.co.uk/conditions</t>
  </si>
  <si>
    <t>https://oxonahealth.co.uk/eczema-psoriasis-rosacea-clinic/</t>
  </si>
  <si>
    <t>https://www.stratumclinics.com/our-clinics/wimbledonandraynespark/</t>
  </si>
  <si>
    <t>https://www.harleyhealthcentre.com/dermatology</t>
  </si>
  <si>
    <t>https://www.sulishospital.com/treatments/specialist-units/dermatology-unit</t>
  </si>
  <si>
    <t>https://midlandhealth.co.uk/dermatology/dermatology-consultations/</t>
  </si>
  <si>
    <t>https://www.thelondonclinic.co.uk/services/diagnostics/dermatology-clinic</t>
  </si>
  <si>
    <t>https://everythingskin.co.uk/dermatology/</t>
  </si>
  <si>
    <t>https://www.southwestdermatology.co.uk/skin-treatments/</t>
  </si>
  <si>
    <t>https://www.cotswoldsurgicalpartners.co.uk/our-services/consultant-dermatology/</t>
  </si>
  <si>
    <t>Private Clinic</t>
  </si>
  <si>
    <t>https://www.sds.org.uk/content/scottish-skin-biology-club</t>
  </si>
  <si>
    <t>Histamine H4 Receptor Antagonist/ H4R Antagonist</t>
  </si>
  <si>
    <t>Atopic Dermatitis/ Prevention and Control</t>
  </si>
  <si>
    <t>https://academic.oup.com/ced/pages/editorial-board</t>
  </si>
  <si>
    <t>http://www.icdermpath.org/</t>
  </si>
  <si>
    <t>https://www.irishdermatologists.ie/events/detail/spring-meeting-2024</t>
  </si>
  <si>
    <t>https://www.spirehealthcare.com/spire-murrayfield-hospital-wirral/consultants/profiles/?filterConsultantType=undefined&amp;filterTreatmentSpeciality=Dermatology&amp;filterLocation=&amp;filterName=&amp;filterByBookable=false</t>
  </si>
  <si>
    <t>https://cutaneousallergy.org/wp-content/uploads/2023/01/bsca_programme_booklet_2023.pdf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</si>
</sst>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33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8">
    <xf numFmtId="0" fontId="0" fillId="0" borderId="0"/>
    <xf numFmtId="0" fontId="15" fillId="0" borderId="0" applyNumberFormat="0" applyFill="0" applyBorder="0" applyAlignment="0" applyProtection="0"/>
    <xf numFmtId="0" fontId="20" fillId="0" borderId="1"/>
    <xf numFmtId="0" fontId="20" fillId="0" borderId="1"/>
    <xf numFmtId="0" fontId="21" fillId="0" borderId="1"/>
    <xf numFmtId="0" fontId="13" fillId="0" borderId="1" applyNumberFormat="0" applyFill="0" applyBorder="0" applyAlignment="0" applyProtection="0">
      <alignment vertical="top"/>
      <protection locked="0"/>
    </xf>
    <xf numFmtId="0" fontId="7" fillId="0" borderId="1"/>
    <xf numFmtId="0" fontId="20" fillId="0" borderId="1"/>
    <xf numFmtId="0" fontId="15" fillId="0" borderId="1" applyNumberFormat="0" applyFill="0" applyBorder="0" applyAlignment="0" applyProtection="0"/>
    <xf numFmtId="0" fontId="15" fillId="0" borderId="1" applyNumberFormat="0" applyFill="0" applyBorder="0" applyAlignment="0" applyProtection="0"/>
    <xf numFmtId="0" fontId="6" fillId="0" borderId="1"/>
    <xf numFmtId="0" fontId="22" fillId="0" borderId="1"/>
    <xf numFmtId="0" fontId="6" fillId="0" borderId="1"/>
    <xf numFmtId="0" fontId="20" fillId="0" borderId="1"/>
    <xf numFmtId="0" fontId="20" fillId="0" borderId="1"/>
    <xf numFmtId="0" fontId="24" fillId="0" borderId="1"/>
    <xf numFmtId="0" fontId="5" fillId="0" borderId="1"/>
    <xf numFmtId="0" fontId="24" fillId="0" borderId="1"/>
    <xf numFmtId="0" fontId="5" fillId="0" borderId="1"/>
    <xf numFmtId="0" fontId="5" fillId="0" borderId="1"/>
    <xf numFmtId="0" fontId="5" fillId="0" borderId="1"/>
    <xf numFmtId="0" fontId="4" fillId="0" borderId="1"/>
    <xf numFmtId="0" fontId="28" fillId="0" borderId="1" applyNumberFormat="0" applyFill="0" applyBorder="0" applyAlignment="0" applyProtection="0"/>
    <xf numFmtId="0" fontId="3" fillId="0" borderId="1"/>
    <xf numFmtId="0" fontId="30" fillId="0" borderId="1"/>
    <xf numFmtId="0" fontId="3" fillId="0" borderId="1"/>
    <xf numFmtId="0" fontId="3" fillId="0" borderId="1"/>
    <xf numFmtId="0" fontId="3" fillId="0" borderId="1"/>
    <xf numFmtId="0" fontId="20" fillId="0" borderId="1"/>
    <xf numFmtId="0" fontId="3" fillId="0" borderId="1"/>
    <xf numFmtId="0" fontId="20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20" fillId="0" borderId="1"/>
    <xf numFmtId="0" fontId="1" fillId="0" borderId="1"/>
  </cellStyleXfs>
  <cellXfs count="113">
    <xf numFmtId="0" fontId="0" fillId="0" borderId="0" xfId="0"/>
    <xf numFmtId="0" fontId="11" fillId="0" borderId="2" xfId="2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9" fillId="0" borderId="0" xfId="0" applyFont="1"/>
    <xf numFmtId="0" fontId="9" fillId="0" borderId="2" xfId="0" applyFont="1" applyBorder="1" applyAlignment="1">
      <alignment wrapText="1"/>
    </xf>
    <xf numFmtId="0" fontId="13" fillId="0" borderId="2" xfId="9" applyFont="1" applyFill="1" applyBorder="1" applyAlignment="1">
      <alignment horizontal="left" vertical="top" wrapText="1"/>
    </xf>
    <xf numFmtId="0" fontId="23" fillId="0" borderId="0" xfId="0" applyFont="1"/>
    <xf numFmtId="0" fontId="20" fillId="0" borderId="1" xfId="2"/>
    <xf numFmtId="0" fontId="23" fillId="0" borderId="1" xfId="2" applyFont="1"/>
    <xf numFmtId="0" fontId="21" fillId="0" borderId="1" xfId="4"/>
    <xf numFmtId="0" fontId="26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top"/>
    </xf>
    <xf numFmtId="0" fontId="13" fillId="0" borderId="2" xfId="4" applyFont="1" applyBorder="1" applyAlignment="1">
      <alignment vertical="top"/>
    </xf>
    <xf numFmtId="0" fontId="12" fillId="2" borderId="2" xfId="4" applyFont="1" applyFill="1" applyBorder="1" applyAlignment="1">
      <alignment horizontal="left" vertical="top" wrapText="1"/>
    </xf>
    <xf numFmtId="0" fontId="9" fillId="0" borderId="2" xfId="4" applyFont="1" applyBorder="1" applyAlignment="1">
      <alignment vertical="top"/>
    </xf>
    <xf numFmtId="0" fontId="21" fillId="0" borderId="1" xfId="4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4" applyFont="1" applyBorder="1" applyAlignment="1">
      <alignment horizontal="left" vertical="top" wrapText="1"/>
    </xf>
    <xf numFmtId="0" fontId="9" fillId="0" borderId="2" xfId="4" applyFont="1" applyBorder="1" applyAlignment="1">
      <alignment horizontal="left" vertical="top" wrapText="1"/>
    </xf>
    <xf numFmtId="0" fontId="1" fillId="0" borderId="1" xfId="37"/>
    <xf numFmtId="0" fontId="12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left" vertical="top" wrapText="1"/>
    </xf>
    <xf numFmtId="0" fontId="10" fillId="0" borderId="1" xfId="2" applyFont="1"/>
    <xf numFmtId="0" fontId="10" fillId="0" borderId="0" xfId="0" applyFont="1"/>
    <xf numFmtId="0" fontId="27" fillId="0" borderId="2" xfId="36" applyFont="1" applyFill="1" applyBorder="1" applyAlignment="1">
      <alignment horizontal="left" vertical="top" wrapText="1"/>
    </xf>
    <xf numFmtId="0" fontId="20" fillId="0" borderId="1" xfId="2" applyFill="1"/>
    <xf numFmtId="0" fontId="27" fillId="0" borderId="2" xfId="2" applyFont="1" applyFill="1" applyBorder="1" applyAlignment="1">
      <alignment horizontal="left" vertical="top" wrapText="1"/>
    </xf>
    <xf numFmtId="0" fontId="12" fillId="0" borderId="2" xfId="2" applyFont="1" applyFill="1" applyBorder="1"/>
    <xf numFmtId="0" fontId="0" fillId="0" borderId="1" xfId="28" applyFont="1"/>
    <xf numFmtId="0" fontId="11" fillId="0" borderId="2" xfId="2" applyFont="1" applyFill="1" applyBorder="1" applyAlignment="1">
      <alignment horizontal="center" vertical="center" wrapText="1"/>
    </xf>
    <xf numFmtId="0" fontId="11" fillId="0" borderId="2" xfId="28" applyFont="1" applyFill="1" applyBorder="1" applyAlignment="1">
      <alignment horizontal="center" vertical="center" wrapText="1"/>
    </xf>
    <xf numFmtId="0" fontId="9" fillId="0" borderId="2" xfId="28" applyFont="1" applyFill="1" applyBorder="1" applyAlignment="1">
      <alignment horizontal="center" vertical="center"/>
    </xf>
    <xf numFmtId="0" fontId="9" fillId="0" borderId="2" xfId="28" applyFont="1" applyFill="1" applyBorder="1" applyAlignment="1">
      <alignment horizontal="left" vertical="top" wrapText="1"/>
    </xf>
    <xf numFmtId="0" fontId="12" fillId="0" borderId="1" xfId="28" applyFont="1"/>
    <xf numFmtId="0" fontId="0" fillId="0" borderId="1" xfId="28" applyFont="1" applyAlignment="1"/>
    <xf numFmtId="0" fontId="9" fillId="0" borderId="2" xfId="28" applyFont="1" applyFill="1" applyBorder="1" applyAlignment="1">
      <alignment horizontal="center" vertical="center" wrapText="1"/>
    </xf>
    <xf numFmtId="0" fontId="12" fillId="0" borderId="2" xfId="28" applyFont="1" applyFill="1" applyBorder="1" applyAlignment="1">
      <alignment horizontal="left" vertical="top" wrapText="1"/>
    </xf>
    <xf numFmtId="0" fontId="27" fillId="0" borderId="2" xfId="9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/>
    <xf numFmtId="0" fontId="9" fillId="0" borderId="2" xfId="2" applyFont="1" applyFill="1" applyBorder="1" applyAlignment="1">
      <alignment horizontal="center" vertical="center"/>
    </xf>
    <xf numFmtId="0" fontId="26" fillId="0" borderId="2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left" vertical="top" wrapText="1"/>
    </xf>
    <xf numFmtId="0" fontId="9" fillId="0" borderId="2" xfId="37" applyFont="1" applyFill="1" applyBorder="1" applyAlignment="1">
      <alignment horizontal="left" vertical="top" wrapText="1"/>
    </xf>
    <xf numFmtId="0" fontId="27" fillId="0" borderId="2" xfId="22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top" wrapText="1"/>
    </xf>
    <xf numFmtId="0" fontId="10" fillId="0" borderId="2" xfId="2" applyFont="1" applyBorder="1"/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9" fillId="0" borderId="2" xfId="2" applyFont="1" applyBorder="1"/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left" vertical="center" wrapText="1"/>
    </xf>
    <xf numFmtId="0" fontId="9" fillId="0" borderId="2" xfId="4" applyFont="1" applyBorder="1" applyAlignment="1">
      <alignment horizontal="left" vertical="top" wrapText="1"/>
    </xf>
    <xf numFmtId="0" fontId="25" fillId="0" borderId="2" xfId="4" applyFont="1" applyBorder="1" applyAlignment="1">
      <alignment vertical="top"/>
    </xf>
    <xf numFmtId="0" fontId="8" fillId="2" borderId="8" xfId="4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left" vertical="center" wrapText="1"/>
    </xf>
    <xf numFmtId="0" fontId="8" fillId="2" borderId="10" xfId="4" applyFont="1" applyFill="1" applyBorder="1" applyAlignment="1">
      <alignment horizontal="left" vertical="center" wrapText="1"/>
    </xf>
    <xf numFmtId="0" fontId="9" fillId="0" borderId="3" xfId="4" applyFont="1" applyBorder="1" applyAlignment="1">
      <alignment horizontal="left" vertical="top" wrapText="1"/>
    </xf>
    <xf numFmtId="0" fontId="25" fillId="0" borderId="4" xfId="4" applyFont="1" applyBorder="1" applyAlignment="1">
      <alignment vertical="top"/>
    </xf>
    <xf numFmtId="0" fontId="25" fillId="0" borderId="5" xfId="4" applyFont="1" applyBorder="1" applyAlignment="1">
      <alignment vertical="top"/>
    </xf>
    <xf numFmtId="0" fontId="25" fillId="0" borderId="6" xfId="4" applyFont="1" applyBorder="1" applyAlignment="1">
      <alignment vertical="top"/>
    </xf>
    <xf numFmtId="0" fontId="25" fillId="0" borderId="1" xfId="4" applyFont="1" applyAlignment="1">
      <alignment vertical="top"/>
    </xf>
    <xf numFmtId="0" fontId="25" fillId="0" borderId="7" xfId="4" applyFont="1" applyBorder="1" applyAlignment="1">
      <alignment vertical="top"/>
    </xf>
    <xf numFmtId="0" fontId="17" fillId="0" borderId="2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left" vertical="top" wrapText="1"/>
    </xf>
    <xf numFmtId="0" fontId="11" fillId="0" borderId="2" xfId="2" applyFont="1" applyFill="1" applyBorder="1" applyAlignment="1">
      <alignment horizontal="center" vertical="center" wrapText="1"/>
    </xf>
    <xf numFmtId="0" fontId="27" fillId="0" borderId="2" xfId="2" applyFont="1" applyFill="1" applyBorder="1"/>
    <xf numFmtId="0" fontId="11" fillId="0" borderId="2" xfId="2" applyFont="1" applyFill="1" applyBorder="1" applyAlignment="1">
      <alignment horizontal="center" vertical="center"/>
    </xf>
    <xf numFmtId="0" fontId="27" fillId="0" borderId="2" xfId="2" applyFont="1" applyFill="1" applyBorder="1" applyAlignment="1">
      <alignment vertical="center"/>
    </xf>
    <xf numFmtId="0" fontId="8" fillId="2" borderId="20" xfId="28" applyFont="1" applyFill="1" applyBorder="1" applyAlignment="1">
      <alignment horizontal="left" vertical="center" wrapText="1"/>
    </xf>
    <xf numFmtId="0" fontId="8" fillId="2" borderId="21" xfId="28" applyFont="1" applyFill="1" applyBorder="1" applyAlignment="1">
      <alignment horizontal="left" vertical="center" wrapText="1"/>
    </xf>
    <xf numFmtId="0" fontId="9" fillId="0" borderId="3" xfId="28" applyFont="1" applyBorder="1" applyAlignment="1">
      <alignment horizontal="left" vertical="top" wrapText="1"/>
    </xf>
    <xf numFmtId="0" fontId="10" fillId="0" borderId="4" xfId="28" applyFont="1" applyBorder="1"/>
    <xf numFmtId="0" fontId="10" fillId="0" borderId="5" xfId="28" applyFont="1" applyBorder="1"/>
    <xf numFmtId="0" fontId="10" fillId="0" borderId="6" xfId="28" applyFont="1" applyBorder="1"/>
    <xf numFmtId="0" fontId="10" fillId="0" borderId="1" xfId="28" applyFont="1"/>
    <xf numFmtId="0" fontId="10" fillId="0" borderId="1" xfId="28" applyFont="1" applyBorder="1"/>
    <xf numFmtId="0" fontId="10" fillId="0" borderId="7" xfId="28" applyFont="1" applyBorder="1"/>
    <xf numFmtId="0" fontId="8" fillId="2" borderId="2" xfId="28" applyNumberFormat="1" applyFont="1" applyFill="1" applyBorder="1" applyAlignment="1">
      <alignment horizontal="left" vertical="center" wrapText="1"/>
    </xf>
    <xf numFmtId="0" fontId="8" fillId="2" borderId="2" xfId="28" applyFont="1" applyFill="1" applyBorder="1" applyAlignment="1">
      <alignment horizontal="left" vertical="center" wrapText="1"/>
    </xf>
    <xf numFmtId="0" fontId="9" fillId="0" borderId="2" xfId="28" applyFont="1" applyBorder="1" applyAlignment="1">
      <alignment horizontal="left" vertical="top" wrapText="1"/>
    </xf>
    <xf numFmtId="0" fontId="10" fillId="0" borderId="2" xfId="28" applyFont="1" applyBorder="1" applyAlignment="1"/>
  </cellXfs>
  <cellStyles count="38">
    <cellStyle name="Hyperlink" xfId="1" builtinId="8"/>
    <cellStyle name="Hyperlink 2" xfId="5"/>
    <cellStyle name="Hyperlink 3" xfId="9"/>
    <cellStyle name="Hyperlink 4" xfId="8"/>
    <cellStyle name="Hyperlink 5" xfId="22"/>
    <cellStyle name="Normal" xfId="0" builtinId="0"/>
    <cellStyle name="Normal 10" xfId="16"/>
    <cellStyle name="Normal 10 2" xfId="29"/>
    <cellStyle name="Normal 11" xfId="21"/>
    <cellStyle name="Normal 11 2" xfId="34"/>
    <cellStyle name="Normal 12" xfId="24"/>
    <cellStyle name="Normal 12 2" xfId="36"/>
    <cellStyle name="Normal 13" xfId="23"/>
    <cellStyle name="Normal 14" xfId="35"/>
    <cellStyle name="Normal 14 2" xfId="37"/>
    <cellStyle name="Normal 2" xfId="2"/>
    <cellStyle name="Normal 3" xfId="3"/>
    <cellStyle name="Normal 3 2" xfId="4"/>
    <cellStyle name="Normal 4" xfId="7"/>
    <cellStyle name="Normal 5" xfId="6"/>
    <cellStyle name="Normal 5 2" xfId="12"/>
    <cellStyle name="Normal 5 2 2" xfId="20"/>
    <cellStyle name="Normal 5 2 2 2" xfId="33"/>
    <cellStyle name="Normal 5 2 3" xfId="27"/>
    <cellStyle name="Normal 5 3" xfId="18"/>
    <cellStyle name="Normal 5 3 2" xfId="31"/>
    <cellStyle name="Normal 5 4" xfId="25"/>
    <cellStyle name="Normal 6" xfId="11"/>
    <cellStyle name="Normal 6 2" xfId="13"/>
    <cellStyle name="Normal 6 3" xfId="14"/>
    <cellStyle name="Normal 7" xfId="10"/>
    <cellStyle name="Normal 7 2" xfId="19"/>
    <cellStyle name="Normal 7 2 2" xfId="32"/>
    <cellStyle name="Normal 7 3" xfId="26"/>
    <cellStyle name="Normal 8" xfId="15"/>
    <cellStyle name="Normal 8 2" xfId="28"/>
    <cellStyle name="Normal 9" xfId="17"/>
    <cellStyle name="Normal 9 2" xfId="3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urnals.plos.org/plosmedicine/s/editorial-board" TargetMode="External"/><Relationship Id="rId18" Type="http://schemas.openxmlformats.org/officeDocument/2006/relationships/hyperlink" Target="https://www.karger.com/journal/home/224164" TargetMode="External"/><Relationship Id="rId26" Type="http://schemas.openxmlformats.org/officeDocument/2006/relationships/hyperlink" Target="https://journals.lww.com/dermatologicsurgery/Pages/aboutthejournal.aspx" TargetMode="External"/><Relationship Id="rId39" Type="http://schemas.openxmlformats.org/officeDocument/2006/relationships/hyperlink" Target="https://www.hindawi.com/journals/drp/" TargetMode="External"/><Relationship Id="rId21" Type="http://schemas.openxmlformats.org/officeDocument/2006/relationships/hyperlink" Target="https://medicaljournalssweden.se/actadv" TargetMode="External"/><Relationship Id="rId34" Type="http://schemas.openxmlformats.org/officeDocument/2006/relationships/hyperlink" Target="https://journals.lww.com/ijwd/pages/aboutthejournal.aspx" TargetMode="External"/><Relationship Id="rId42" Type="http://schemas.openxmlformats.org/officeDocument/2006/relationships/hyperlink" Target="https://www.walshmedicalmedia.com/dermatitis.html" TargetMode="External"/><Relationship Id="rId47" Type="http://schemas.openxmlformats.org/officeDocument/2006/relationships/hyperlink" Target="https://www.acta-apa.org/journals/acta-dermatovenerol-apa/static_pages/1" TargetMode="External"/><Relationship Id="rId50" Type="http://schemas.openxmlformats.org/officeDocument/2006/relationships/hyperlink" Target="https://www.hindawi.com/journals/cridm/" TargetMode="External"/><Relationship Id="rId55" Type="http://schemas.openxmlformats.org/officeDocument/2006/relationships/hyperlink" Target="https://www.iomcworld.com/dermatology-case-reports.html" TargetMode="External"/><Relationship Id="rId63" Type="http://schemas.openxmlformats.org/officeDocument/2006/relationships/hyperlink" Target="https://skin-diseases-and-skin-care.imedpub.com/" TargetMode="External"/><Relationship Id="rId68" Type="http://schemas.openxmlformats.org/officeDocument/2006/relationships/hyperlink" Target="https://www.sciencedirect.com/journal/jaad-international/about/editorial-board" TargetMode="External"/><Relationship Id="rId7" Type="http://schemas.openxmlformats.org/officeDocument/2006/relationships/hyperlink" Target="https://www.science.org/journal/science" TargetMode="External"/><Relationship Id="rId71" Type="http://schemas.openxmlformats.org/officeDocument/2006/relationships/hyperlink" Target="https://www.ejpd.com/index.php/journal" TargetMode="External"/><Relationship Id="rId2" Type="http://schemas.openxmlformats.org/officeDocument/2006/relationships/hyperlink" Target="https://www.nejm.org/about-nejm/editors-and-publishers" TargetMode="External"/><Relationship Id="rId16" Type="http://schemas.openxmlformats.org/officeDocument/2006/relationships/hyperlink" Target="https://www.springer.com/journal/11" TargetMode="External"/><Relationship Id="rId29" Type="http://schemas.openxmlformats.org/officeDocument/2006/relationships/hyperlink" Target="https://www.springer.com/journal/403" TargetMode="External"/><Relationship Id="rId11" Type="http://schemas.openxmlformats.org/officeDocument/2006/relationships/hyperlink" Target="https://jamanetwork.com/journals/jamadermatology" TargetMode="External"/><Relationship Id="rId24" Type="http://schemas.openxmlformats.org/officeDocument/2006/relationships/hyperlink" Target="https://www.derm.theclinics.com/" TargetMode="External"/><Relationship Id="rId32" Type="http://schemas.openxmlformats.org/officeDocument/2006/relationships/hyperlink" Target="https://www.journals.elsevier.com/clinics-in-dermatology" TargetMode="External"/><Relationship Id="rId37" Type="http://schemas.openxmlformats.org/officeDocument/2006/relationships/hyperlink" Target="https://onlinelibrary.wiley.com/journal/16000560" TargetMode="External"/><Relationship Id="rId40" Type="http://schemas.openxmlformats.org/officeDocument/2006/relationships/hyperlink" Target="https://www.journals.elsevier.com/journal-of-investigative-dermatology-symposium-proceedings/editorial-board" TargetMode="External"/><Relationship Id="rId45" Type="http://schemas.openxmlformats.org/officeDocument/2006/relationships/hyperlink" Target="https://www.karger.com/Journal/Home/239060" TargetMode="External"/><Relationship Id="rId53" Type="http://schemas.openxmlformats.org/officeDocument/2006/relationships/hyperlink" Target="https://onlinelibrary.wiley.com/journal/26377489" TargetMode="External"/><Relationship Id="rId58" Type="http://schemas.openxmlformats.org/officeDocument/2006/relationships/hyperlink" Target="https://dpcj.org/index.php/dpc" TargetMode="External"/><Relationship Id="rId66" Type="http://schemas.openxmlformats.org/officeDocument/2006/relationships/hyperlink" Target="https://www.springer.com/journal/105" TargetMode="External"/><Relationship Id="rId5" Type="http://schemas.openxmlformats.org/officeDocument/2006/relationships/hyperlink" Target="https://www.nature.com/nature/about/editors" TargetMode="External"/><Relationship Id="rId15" Type="http://schemas.openxmlformats.org/officeDocument/2006/relationships/hyperlink" Target="https://www.jidonline.org/" TargetMode="External"/><Relationship Id="rId23" Type="http://schemas.openxmlformats.org/officeDocument/2006/relationships/hyperlink" Target="https://www.springer.com/journal/13555" TargetMode="External"/><Relationship Id="rId28" Type="http://schemas.openxmlformats.org/officeDocument/2006/relationships/hyperlink" Target="https://onlinelibrary.wiley.com/page/journal/13654632/homepage/editorialboard.html" TargetMode="External"/><Relationship Id="rId36" Type="http://schemas.openxmlformats.org/officeDocument/2006/relationships/hyperlink" Target="https://jddonline.com/" TargetMode="External"/><Relationship Id="rId49" Type="http://schemas.openxmlformats.org/officeDocument/2006/relationships/hyperlink" Target="http://journalseek.net/cgi-bin/journalseek/journalsearch.cgi?field=issn&amp;query=1368-549X" TargetMode="External"/><Relationship Id="rId57" Type="http://schemas.openxmlformats.org/officeDocument/2006/relationships/hyperlink" Target="http://www.dermatologyinpractice.co.uk/" TargetMode="External"/><Relationship Id="rId61" Type="http://schemas.openxmlformats.org/officeDocument/2006/relationships/hyperlink" Target="https://www.longdom.org/clinical-experimental-dermatology-research.html" TargetMode="External"/><Relationship Id="rId10" Type="http://schemas.openxmlformats.org/officeDocument/2006/relationships/hyperlink" Target="https://www.embopress.org/page/journal/14602075/editors" TargetMode="External"/><Relationship Id="rId19" Type="http://schemas.openxmlformats.org/officeDocument/2006/relationships/hyperlink" Target="https://home.liebertpub.com/publications/dermatitis/672/overview" TargetMode="External"/><Relationship Id="rId31" Type="http://schemas.openxmlformats.org/officeDocument/2006/relationships/hyperlink" Target="https://www.jle.com/en/revues/ejd/revue.phtml" TargetMode="External"/><Relationship Id="rId44" Type="http://schemas.openxmlformats.org/officeDocument/2006/relationships/hyperlink" Target="https://www.scitechnol.com/clinical-dermatology-research-journal.php" TargetMode="External"/><Relationship Id="rId52" Type="http://schemas.openxmlformats.org/officeDocument/2006/relationships/hyperlink" Target="https://www.mdpi.com/journal/dermato" TargetMode="External"/><Relationship Id="rId60" Type="http://schemas.openxmlformats.org/officeDocument/2006/relationships/hyperlink" Target="https://www.jidinnovations.org/" TargetMode="External"/><Relationship Id="rId65" Type="http://schemas.openxmlformats.org/officeDocument/2006/relationships/hyperlink" Target="https://skinmedjournal.com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bmj.com/about-bmj" TargetMode="External"/><Relationship Id="rId9" Type="http://schemas.openxmlformats.org/officeDocument/2006/relationships/hyperlink" Target="https://onlinelibrary.wiley.com/page/journal/1469185x/homepage/editorialboard.html" TargetMode="External"/><Relationship Id="rId14" Type="http://schemas.openxmlformats.org/officeDocument/2006/relationships/hyperlink" Target="https://onlinelibrary.wiley.com/page/journal/14683083/homepage/editorialboard.html" TargetMode="External"/><Relationship Id="rId22" Type="http://schemas.openxmlformats.org/officeDocument/2006/relationships/hyperlink" Target="https://www.hindawi.com/journals/dth/" TargetMode="External"/><Relationship Id="rId27" Type="http://schemas.openxmlformats.org/officeDocument/2006/relationships/hyperlink" Target="https://www.tandfonline.com/loi/ijdt20" TargetMode="External"/><Relationship Id="rId30" Type="http://schemas.openxmlformats.org/officeDocument/2006/relationships/hyperlink" Target="https://www.karger.com/Journal/Home/224194" TargetMode="External"/><Relationship Id="rId35" Type="http://schemas.openxmlformats.org/officeDocument/2006/relationships/hyperlink" Target="https://www.termedia.pl/Journal/Advances_in_Dermatology_and_Allergology-7" TargetMode="External"/><Relationship Id="rId43" Type="http://schemas.openxmlformats.org/officeDocument/2006/relationships/hyperlink" Target="https://escholarship.org/uc/doj" TargetMode="External"/><Relationship Id="rId48" Type="http://schemas.openxmlformats.org/officeDocument/2006/relationships/hyperlink" Target="https://www.acpjournals.org/journal/aim/about-us" TargetMode="External"/><Relationship Id="rId56" Type="http://schemas.openxmlformats.org/officeDocument/2006/relationships/hyperlink" Target="https://www.scitcentral.com/journals/19" TargetMode="External"/><Relationship Id="rId64" Type="http://schemas.openxmlformats.org/officeDocument/2006/relationships/hyperlink" Target="https://onlinelibrary.wiley.com/journal/2690442x" TargetMode="External"/><Relationship Id="rId69" Type="http://schemas.openxmlformats.org/officeDocument/2006/relationships/hyperlink" Target="https://onlinelibrary.wiley.com/journal/15251470" TargetMode="External"/><Relationship Id="rId8" Type="http://schemas.openxmlformats.org/officeDocument/2006/relationships/hyperlink" Target="https://www.nature.com/cr/about/editorial-board" TargetMode="External"/><Relationship Id="rId51" Type="http://schemas.openxmlformats.org/officeDocument/2006/relationships/hyperlink" Target="https://www.springer.com/journal/13671" TargetMode="External"/><Relationship Id="rId72" Type="http://schemas.openxmlformats.org/officeDocument/2006/relationships/hyperlink" Target="https://academic.oup.com/ced/pages/editorial-board" TargetMode="External"/><Relationship Id="rId3" Type="http://schemas.openxmlformats.org/officeDocument/2006/relationships/hyperlink" Target="https://jamanetwork.com/journals/jama" TargetMode="External"/><Relationship Id="rId12" Type="http://schemas.openxmlformats.org/officeDocument/2006/relationships/hyperlink" Target="https://academic.oup.com/bjd" TargetMode="External"/><Relationship Id="rId17" Type="http://schemas.openxmlformats.org/officeDocument/2006/relationships/hyperlink" Target="https://www.journals.elsevier.com/journal-of-dermatological-science" TargetMode="External"/><Relationship Id="rId25" Type="http://schemas.openxmlformats.org/officeDocument/2006/relationships/hyperlink" Target="https://onlinelibrary.wiley.com/journal/13468138" TargetMode="External"/><Relationship Id="rId33" Type="http://schemas.openxmlformats.org/officeDocument/2006/relationships/hyperlink" Target="https://onlinelibrary.wiley.com/journal/16000846" TargetMode="External"/><Relationship Id="rId38" Type="http://schemas.openxmlformats.org/officeDocument/2006/relationships/hyperlink" Target="http://www.dermsinica.org/aboutus.asp" TargetMode="External"/><Relationship Id="rId46" Type="http://schemas.openxmlformats.org/officeDocument/2006/relationships/hyperlink" Target="https://www.sciencedirect.com/journal/piel" TargetMode="External"/><Relationship Id="rId59" Type="http://schemas.openxmlformats.org/officeDocument/2006/relationships/hyperlink" Target="https://www.tandfonline.com/toc/ierg20/current" TargetMode="External"/><Relationship Id="rId67" Type="http://schemas.openxmlformats.org/officeDocument/2006/relationships/hyperlink" Target="https://www.wjgnet.com/2218-6190" TargetMode="External"/><Relationship Id="rId20" Type="http://schemas.openxmlformats.org/officeDocument/2006/relationships/hyperlink" Target="https://onlinelibrary.wiley.com/journal/16000625" TargetMode="External"/><Relationship Id="rId41" Type="http://schemas.openxmlformats.org/officeDocument/2006/relationships/hyperlink" Target="https://www.alliedacademies.org/research-in-clinical-dermatology/" TargetMode="External"/><Relationship Id="rId54" Type="http://schemas.openxmlformats.org/officeDocument/2006/relationships/hyperlink" Target="https://scholars.direct/journal.php?jid=dermatology" TargetMode="External"/><Relationship Id="rId62" Type="http://schemas.openxmlformats.org/officeDocument/2006/relationships/hyperlink" Target="https://www.hilarispublisher.com/dermatology-dermatologic-diseases.html" TargetMode="External"/><Relationship Id="rId70" Type="http://schemas.openxmlformats.org/officeDocument/2006/relationships/hyperlink" Target="https://www.primescholars.com/clinical-pediatrics-dermatology.html" TargetMode="External"/><Relationship Id="rId1" Type="http://schemas.openxmlformats.org/officeDocument/2006/relationships/hyperlink" Target="https://www.thelancet.com/lancet-people" TargetMode="External"/><Relationship Id="rId6" Type="http://schemas.openxmlformats.org/officeDocument/2006/relationships/hyperlink" Target="https://www.cell.com/cell/editorial-board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online.hscni.net/lcgs/south-eastern/" TargetMode="External"/><Relationship Id="rId13" Type="http://schemas.openxmlformats.org/officeDocument/2006/relationships/hyperlink" Target="http://www.nhsaaa.net/" TargetMode="External"/><Relationship Id="rId18" Type="http://schemas.openxmlformats.org/officeDocument/2006/relationships/hyperlink" Target="http://www.nhsgrampian.co.uk/" TargetMode="External"/><Relationship Id="rId26" Type="http://schemas.openxmlformats.org/officeDocument/2006/relationships/hyperlink" Target="http://www.wihb.scot.nhs.uk/" TargetMode="External"/><Relationship Id="rId3" Type="http://schemas.openxmlformats.org/officeDocument/2006/relationships/hyperlink" Target="https://online.hscni.net/" TargetMode="External"/><Relationship Id="rId21" Type="http://schemas.openxmlformats.org/officeDocument/2006/relationships/hyperlink" Target="http://www.nhslanarkshire.org.uk/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http://www.setrust.hscni.net/" TargetMode="External"/><Relationship Id="rId12" Type="http://schemas.openxmlformats.org/officeDocument/2006/relationships/hyperlink" Target="https://online.hscni.net/lcgs/western/" TargetMode="External"/><Relationship Id="rId17" Type="http://schemas.openxmlformats.org/officeDocument/2006/relationships/hyperlink" Target="http://www.nhsforthvalley.com/" TargetMode="External"/><Relationship Id="rId25" Type="http://schemas.openxmlformats.org/officeDocument/2006/relationships/hyperlink" Target="http://www.nhstayside.scot.nhs.uk/" TargetMode="External"/><Relationship Id="rId33" Type="http://schemas.openxmlformats.org/officeDocument/2006/relationships/hyperlink" Target="https://sbuhb.nhs.wales/" TargetMode="External"/><Relationship Id="rId2" Type="http://schemas.openxmlformats.org/officeDocument/2006/relationships/hyperlink" Target="https://online.hscni.net/lcgs/belfast/" TargetMode="External"/><Relationship Id="rId16" Type="http://schemas.openxmlformats.org/officeDocument/2006/relationships/hyperlink" Target="http://www.nhsfife.org/" TargetMode="External"/><Relationship Id="rId20" Type="http://schemas.openxmlformats.org/officeDocument/2006/relationships/hyperlink" Target="http://www.nhshighland.scot.nhs.uk/" TargetMode="External"/><Relationship Id="rId29" Type="http://schemas.openxmlformats.org/officeDocument/2006/relationships/hyperlink" Target="https://cavuhb.nhs.wales/" TargetMode="External"/><Relationship Id="rId1" Type="http://schemas.openxmlformats.org/officeDocument/2006/relationships/hyperlink" Target="https://belfasttrust.hscni.net/" TargetMode="External"/><Relationship Id="rId6" Type="http://schemas.openxmlformats.org/officeDocument/2006/relationships/hyperlink" Target="https://online.hscni.net/lcgs/northern/" TargetMode="External"/><Relationship Id="rId11" Type="http://schemas.openxmlformats.org/officeDocument/2006/relationships/hyperlink" Target="https://westerntrust.hscni.net/" TargetMode="External"/><Relationship Id="rId24" Type="http://schemas.openxmlformats.org/officeDocument/2006/relationships/hyperlink" Target="http://www.shb.scot.nhs.uk/" TargetMode="External"/><Relationship Id="rId32" Type="http://schemas.openxmlformats.org/officeDocument/2006/relationships/hyperlink" Target="https://pthb.nhs.wales/" TargetMode="External"/><Relationship Id="rId5" Type="http://schemas.openxmlformats.org/officeDocument/2006/relationships/hyperlink" Target="https://www.northerntrust.hscni.net/" TargetMode="External"/><Relationship Id="rId15" Type="http://schemas.openxmlformats.org/officeDocument/2006/relationships/hyperlink" Target="https://www.nhsdg.co.uk/" TargetMode="External"/><Relationship Id="rId23" Type="http://schemas.openxmlformats.org/officeDocument/2006/relationships/hyperlink" Target="http://www.ohb.scot.nhs.uk/" TargetMode="External"/><Relationship Id="rId28" Type="http://schemas.openxmlformats.org/officeDocument/2006/relationships/hyperlink" Target="https://bcuhb.nhs.wales/" TargetMode="External"/><Relationship Id="rId10" Type="http://schemas.openxmlformats.org/officeDocument/2006/relationships/hyperlink" Target="https://online.hscni.net/lcgs/southern/" TargetMode="External"/><Relationship Id="rId19" Type="http://schemas.openxmlformats.org/officeDocument/2006/relationships/hyperlink" Target="http://www.nhsggc.org.uk/" TargetMode="External"/><Relationship Id="rId31" Type="http://schemas.openxmlformats.org/officeDocument/2006/relationships/hyperlink" Target="https://hduhb.nhs.wales/" TargetMode="External"/><Relationship Id="rId4" Type="http://schemas.openxmlformats.org/officeDocument/2006/relationships/hyperlink" Target="https://niformulary.hscni.net/about-us/prescribing-guidance-editorial-group-meeting-dates/" TargetMode="External"/><Relationship Id="rId9" Type="http://schemas.openxmlformats.org/officeDocument/2006/relationships/hyperlink" Target="https://southerntrust.hscni.net/" TargetMode="External"/><Relationship Id="rId14" Type="http://schemas.openxmlformats.org/officeDocument/2006/relationships/hyperlink" Target="http://www.nhsborders.scot.nhs.uk/patients-and-visitors/" TargetMode="External"/><Relationship Id="rId22" Type="http://schemas.openxmlformats.org/officeDocument/2006/relationships/hyperlink" Target="http://www.nhslothian.scot.nhs.uk/" TargetMode="External"/><Relationship Id="rId27" Type="http://schemas.openxmlformats.org/officeDocument/2006/relationships/hyperlink" Target="https://abuhb.nhs.wales/" TargetMode="External"/><Relationship Id="rId30" Type="http://schemas.openxmlformats.org/officeDocument/2006/relationships/hyperlink" Target="https://ctmuhb.nhs.wal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nclhealthandcare.org.uk/" TargetMode="External"/><Relationship Id="rId13" Type="http://schemas.openxmlformats.org/officeDocument/2006/relationships/hyperlink" Target="https://blackcountryics.org.uk/" TargetMode="External"/><Relationship Id="rId18" Type="http://schemas.openxmlformats.org/officeDocument/2006/relationships/hyperlink" Target="https://www.icnorthamptonshire.org.uk/" TargetMode="External"/><Relationship Id="rId26" Type="http://schemas.openxmlformats.org/officeDocument/2006/relationships/hyperlink" Target="https://syics.co.uk/" TargetMode="External"/><Relationship Id="rId39" Type="http://schemas.openxmlformats.org/officeDocument/2006/relationships/hyperlink" Target="https://onedevon.org.uk/" TargetMode="External"/><Relationship Id="rId3" Type="http://schemas.openxmlformats.org/officeDocument/2006/relationships/hyperlink" Target="https://hertsandwestessexics.org.uk/" TargetMode="External"/><Relationship Id="rId21" Type="http://schemas.openxmlformats.org/officeDocument/2006/relationships/hyperlink" Target="https://staffsstokeics.org.uk/" TargetMode="External"/><Relationship Id="rId34" Type="http://schemas.openxmlformats.org/officeDocument/2006/relationships/hyperlink" Target="https://www.frimleyhealthandcare.org.uk/" TargetMode="External"/><Relationship Id="rId42" Type="http://schemas.openxmlformats.org/officeDocument/2006/relationships/hyperlink" Target="https://www.onegloucestershire.net/" TargetMode="External"/><Relationship Id="rId7" Type="http://schemas.openxmlformats.org/officeDocument/2006/relationships/hyperlink" Target="https://www.southwestlondonics.org.uk/" TargetMode="External"/><Relationship Id="rId12" Type="http://schemas.openxmlformats.org/officeDocument/2006/relationships/hyperlink" Target="https://www.birminghamsolihull.icb.nhs.uk/" TargetMode="External"/><Relationship Id="rId17" Type="http://schemas.openxmlformats.org/officeDocument/2006/relationships/hyperlink" Target="https://lincolnshire.icb.nhs.uk/" TargetMode="External"/><Relationship Id="rId25" Type="http://schemas.openxmlformats.org/officeDocument/2006/relationships/hyperlink" Target="https://www.westyorkshire.icb.nhs.uk/" TargetMode="External"/><Relationship Id="rId33" Type="http://schemas.openxmlformats.org/officeDocument/2006/relationships/hyperlink" Target="https://www.sussex.ics.nhs.uk/" TargetMode="External"/><Relationship Id="rId38" Type="http://schemas.openxmlformats.org/officeDocument/2006/relationships/hyperlink" Target="https://cios.icb.nhs.uk/" TargetMode="External"/><Relationship Id="rId2" Type="http://schemas.openxmlformats.org/officeDocument/2006/relationships/hyperlink" Target="https://blmkhealthandcarepartnership.org/" TargetMode="External"/><Relationship Id="rId16" Type="http://schemas.openxmlformats.org/officeDocument/2006/relationships/hyperlink" Target="https://leicesterleicestershireandrutland.icb.nhs.uk/" TargetMode="External"/><Relationship Id="rId20" Type="http://schemas.openxmlformats.org/officeDocument/2006/relationships/hyperlink" Target="https://www.shropshiretelfordandwrekin.ics.nhs.uk/" TargetMode="External"/><Relationship Id="rId29" Type="http://schemas.openxmlformats.org/officeDocument/2006/relationships/hyperlink" Target="https://gmintegratedcare.org.uk/" TargetMode="External"/><Relationship Id="rId41" Type="http://schemas.openxmlformats.org/officeDocument/2006/relationships/hyperlink" Target="https://nhssomerset.nhs.uk/about-us/integrated-care-in-somerset/" TargetMode="External"/><Relationship Id="rId1" Type="http://schemas.openxmlformats.org/officeDocument/2006/relationships/hyperlink" Target="https://www.cpics.org.uk/" TargetMode="External"/><Relationship Id="rId6" Type="http://schemas.openxmlformats.org/officeDocument/2006/relationships/hyperlink" Target="https://www.sneeics.org.uk/" TargetMode="External"/><Relationship Id="rId11" Type="http://schemas.openxmlformats.org/officeDocument/2006/relationships/hyperlink" Target="https://northeastlondon.icb.nhs.uk/" TargetMode="External"/><Relationship Id="rId24" Type="http://schemas.openxmlformats.org/officeDocument/2006/relationships/hyperlink" Target="https://northeastnorthcumbria.nhs.uk/" TargetMode="External"/><Relationship Id="rId32" Type="http://schemas.openxmlformats.org/officeDocument/2006/relationships/hyperlink" Target="https://www.surreyheartlands.org/" TargetMode="External"/><Relationship Id="rId37" Type="http://schemas.openxmlformats.org/officeDocument/2006/relationships/hyperlink" Target="https://bnssg.icb.nhs.uk/" TargetMode="External"/><Relationship Id="rId40" Type="http://schemas.openxmlformats.org/officeDocument/2006/relationships/hyperlink" Target="https://nhsdorset.nhs.uk/" TargetMode="External"/><Relationship Id="rId5" Type="http://schemas.openxmlformats.org/officeDocument/2006/relationships/hyperlink" Target="https://improvinglivesnw.org.uk/" TargetMode="External"/><Relationship Id="rId15" Type="http://schemas.openxmlformats.org/officeDocument/2006/relationships/hyperlink" Target="https://www.hwics.org.uk/" TargetMode="External"/><Relationship Id="rId23" Type="http://schemas.openxmlformats.org/officeDocument/2006/relationships/hyperlink" Target="https://humberandnorthyorkshire.icb.nhs.uk/" TargetMode="External"/><Relationship Id="rId28" Type="http://schemas.openxmlformats.org/officeDocument/2006/relationships/hyperlink" Target="https://www.cheshireandmerseyside.nhs.uk/" TargetMode="External"/><Relationship Id="rId36" Type="http://schemas.openxmlformats.org/officeDocument/2006/relationships/hyperlink" Target="https://bswtogether.org.uk/" TargetMode="External"/><Relationship Id="rId10" Type="http://schemas.openxmlformats.org/officeDocument/2006/relationships/hyperlink" Target="https://www.selondonics.org/" TargetMode="External"/><Relationship Id="rId19" Type="http://schemas.openxmlformats.org/officeDocument/2006/relationships/hyperlink" Target="https://healthandcarenotts.co.uk/" TargetMode="External"/><Relationship Id="rId31" Type="http://schemas.openxmlformats.org/officeDocument/2006/relationships/hyperlink" Target="https://www.hantsiowhealthandcare.org.uk/" TargetMode="External"/><Relationship Id="rId4" Type="http://schemas.openxmlformats.org/officeDocument/2006/relationships/hyperlink" Target="https://www.midandsouthessex.ics.nhs.uk/" TargetMode="External"/><Relationship Id="rId9" Type="http://schemas.openxmlformats.org/officeDocument/2006/relationships/hyperlink" Target="https://www.nwlondonicb.nhs.uk/" TargetMode="External"/><Relationship Id="rId14" Type="http://schemas.openxmlformats.org/officeDocument/2006/relationships/hyperlink" Target="https://joinedupcarederbyshire.co.uk/" TargetMode="External"/><Relationship Id="rId22" Type="http://schemas.openxmlformats.org/officeDocument/2006/relationships/hyperlink" Target="https://www.happyhealthylives.uk/" TargetMode="External"/><Relationship Id="rId27" Type="http://schemas.openxmlformats.org/officeDocument/2006/relationships/hyperlink" Target="https://www.healthierlsc.co.uk/" TargetMode="External"/><Relationship Id="rId30" Type="http://schemas.openxmlformats.org/officeDocument/2006/relationships/hyperlink" Target="https://www.bucksoxonberksw.icb.nhs.uk/" TargetMode="External"/><Relationship Id="rId35" Type="http://schemas.openxmlformats.org/officeDocument/2006/relationships/hyperlink" Target="https://www.kmhealthandcare.uk/" TargetMode="External"/><Relationship Id="rId43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https://www.kingedwardvii.co.uk/services/dermatology" TargetMode="External"/><Relationship Id="rId7" Type="http://schemas.openxmlformats.org/officeDocument/2006/relationships/hyperlink" Target="https://belfastskinclinic.com/" TargetMode="External"/><Relationship Id="rId2" Type="http://schemas.openxmlformats.org/officeDocument/2006/relationships/hyperlink" Target="https://bwc.nhs.uk/dermatology/" TargetMode="External"/><Relationship Id="rId1" Type="http://schemas.openxmlformats.org/officeDocument/2006/relationships/hyperlink" Target="https://ga2len-adcare.net/" TargetMode="External"/><Relationship Id="rId6" Type="http://schemas.openxmlformats.org/officeDocument/2006/relationships/hyperlink" Target="https://instituteofdermatologists.ie/" TargetMode="External"/><Relationship Id="rId5" Type="http://schemas.openxmlformats.org/officeDocument/2006/relationships/hyperlink" Target="https://www.stjohnsdermacademy.com/about" TargetMode="External"/><Relationship Id="rId4" Type="http://schemas.openxmlformats.org/officeDocument/2006/relationships/hyperlink" Target="https://www.phoenixhospitalgroup.com/our-services/dermatology/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cahealthcare.co.uk/facilities/the-christie-private-care" TargetMode="External"/><Relationship Id="rId299" Type="http://schemas.openxmlformats.org/officeDocument/2006/relationships/hyperlink" Target="https://www.dermacore.co.uk/private-dermatology/" TargetMode="External"/><Relationship Id="rId21" Type="http://schemas.openxmlformats.org/officeDocument/2006/relationships/hyperlink" Target="https://www.nuffieldhealth.com/hospitals/chester/treatments?category=dermatology" TargetMode="External"/><Relationship Id="rId42" Type="http://schemas.openxmlformats.org/officeDocument/2006/relationships/hyperlink" Target="https://imperialprivatehealthcare.co.uk/consultants-directory/?cn-cat-in%5B%5D=65&amp;cn-cat-in%5B%5D=&amp;cn-cat-in%5B%5D=&amp;cn-cat-in%5B%5D=&amp;cn-s=" TargetMode="External"/><Relationship Id="rId63" Type="http://schemas.openxmlformats.org/officeDocument/2006/relationships/hyperlink" Target="https://www.rivershospital.co.uk/specialists?query=Dermatology" TargetMode="External"/><Relationship Id="rId84" Type="http://schemas.openxmlformats.org/officeDocument/2006/relationships/hyperlink" Target="https://www.spirehealthcare.com/spire-leeds-hospital/consultants/profiles/?filterConsultantType=consultant&amp;filterTreatmentSpeciality=Dermatology&amp;filterLocation=&amp;filterName=&amp;filterByBookable=false" TargetMode="External"/><Relationship Id="rId138" Type="http://schemas.openxmlformats.org/officeDocument/2006/relationships/hyperlink" Target="https://www.theprivateclinic.co.uk/treatments/dermatology-and-conditions/" TargetMode="External"/><Relationship Id="rId159" Type="http://schemas.openxmlformats.org/officeDocument/2006/relationships/hyperlink" Target="https://www.nuffieldhealth.com/hospitals/york/treatments?category=dermatology" TargetMode="External"/><Relationship Id="rId170" Type="http://schemas.openxmlformats.org/officeDocument/2006/relationships/hyperlink" Target="https://www.sknclinics.co.uk/clinics/the-south/bristol-clifton-whiteladiesroad" TargetMode="External"/><Relationship Id="rId191" Type="http://schemas.openxmlformats.org/officeDocument/2006/relationships/hyperlink" Target="https://www.sknclinics.co.uk/clinics/london/london-wall" TargetMode="External"/><Relationship Id="rId205" Type="http://schemas.openxmlformats.org/officeDocument/2006/relationships/hyperlink" Target="https://www.sknclinics.co.uk/clinics/the-south/southampton-east-street" TargetMode="External"/><Relationship Id="rId226" Type="http://schemas.openxmlformats.org/officeDocument/2006/relationships/hyperlink" Target="https://rocprivateclinic.com/services/dermatology-and-mole-mapping/" TargetMode="External"/><Relationship Id="rId247" Type="http://schemas.openxmlformats.org/officeDocument/2006/relationships/hyperlink" Target="https://www.dermatologycork.ie/about-dermatology-cork" TargetMode="External"/><Relationship Id="rId107" Type="http://schemas.openxmlformats.org/officeDocument/2006/relationships/hyperlink" Target="https://www.nuffieldhealth.com/hospitals/taunton/treatments?category=dermatology" TargetMode="External"/><Relationship Id="rId268" Type="http://schemas.openxmlformats.org/officeDocument/2006/relationships/hyperlink" Target="https://www.dermareading.co.uk/conditions" TargetMode="External"/><Relationship Id="rId289" Type="http://schemas.openxmlformats.org/officeDocument/2006/relationships/hyperlink" Target="https://www.theharleystreetdermatologyclinic.co.uk/harley-street-dermatology-clinic/our-team/" TargetMode="External"/><Relationship Id="rId11" Type="http://schemas.openxmlformats.org/officeDocument/2006/relationships/hyperlink" Target="https://www.circlehealthgroup.co.uk/hospitals/bishops-wood-hospital/dermatology" TargetMode="External"/><Relationship Id="rId32" Type="http://schemas.openxmlformats.org/officeDocument/2006/relationships/hyperlink" Target="https://www.fitzwilliamhospital.co.uk/specialists?query=Dermatology" TargetMode="External"/><Relationship Id="rId53" Type="http://schemas.openxmlformats.org/officeDocument/2006/relationships/hyperlink" Target="https://www.nuffieldhealth.com/hospitals/newcastle-upon-tyne/treatments?category=dermatology" TargetMode="External"/><Relationship Id="rId74" Type="http://schemas.openxmlformats.org/officeDocument/2006/relationships/hyperlink" Target="https://www.spirehealthcare.com/spire-cheshire-hospital/treatments/skin-treatments/" TargetMode="External"/><Relationship Id="rId128" Type="http://schemas.openxmlformats.org/officeDocument/2006/relationships/hyperlink" Target="https://www.hcahealthcare.co.uk/facilities/the-lister-hospital" TargetMode="External"/><Relationship Id="rId149" Type="http://schemas.openxmlformats.org/officeDocument/2006/relationships/hyperlink" Target="https://www.circlehealthgroup.co.uk/hospitals/thornbury-hospital/dermatology" TargetMode="External"/><Relationship Id="rId5" Type="http://schemas.openxmlformats.org/officeDocument/2006/relationships/hyperlink" Target="http://skincanceruk.com/general-dermatology/" TargetMode="External"/><Relationship Id="rId95" Type="http://schemas.openxmlformats.org/officeDocument/2006/relationships/hyperlink" Target="https://www.spirehealthcare.com/spire-regency-hospital-macclesfield/treatments/skin-treatments/meet-the-team/" TargetMode="External"/><Relationship Id="rId160" Type="http://schemas.openxmlformats.org/officeDocument/2006/relationships/hyperlink" Target="https://hje.org.uk/services/dermatology-unit/about/" TargetMode="External"/><Relationship Id="rId181" Type="http://schemas.openxmlformats.org/officeDocument/2006/relationships/hyperlink" Target="https://www.sknclinics.co.uk/clinics/the-midlands/leicester-gallowtree-gate" TargetMode="External"/><Relationship Id="rId216" Type="http://schemas.openxmlformats.org/officeDocument/2006/relationships/hyperlink" Target="https://thedermatologyclinic.london/" TargetMode="External"/><Relationship Id="rId237" Type="http://schemas.openxmlformats.org/officeDocument/2006/relationships/hyperlink" Target="https://www.spirehealthcare.com/spire-cardiff-hospital/treatments/skin-treatments/" TargetMode="External"/><Relationship Id="rId258" Type="http://schemas.openxmlformats.org/officeDocument/2006/relationships/hyperlink" Target="https://www.geraldinemorrow.com/adult-dermatology-services" TargetMode="External"/><Relationship Id="rId279" Type="http://schemas.openxmlformats.org/officeDocument/2006/relationships/hyperlink" Target="https://www.duchyhospital.co.uk/treatments/dermatology" TargetMode="External"/><Relationship Id="rId22" Type="http://schemas.openxmlformats.org/officeDocument/2006/relationships/hyperlink" Target="https://www.nuffieldhealth.com/hospitals/chichester/treatments?category=dermatology" TargetMode="External"/><Relationship Id="rId43" Type="http://schemas.openxmlformats.org/officeDocument/2006/relationships/hyperlink" Target="https://www.nuffieldhealth.com/hospitals/ipswich/treatments?category=dermatology" TargetMode="External"/><Relationship Id="rId64" Type="http://schemas.openxmlformats.org/officeDocument/2006/relationships/hyperlink" Target="https://www.rowleyhallhospital.co.uk/specialists?query=Dermatology" TargetMode="External"/><Relationship Id="rId118" Type="http://schemas.openxmlformats.org/officeDocument/2006/relationships/hyperlink" Target="https://www.circlehealthgroup.co.uk/consultants?nationalSpecialityId=498c24bd-cd97-48d8-8324-643bb8b8296c&amp;hospitalId=74c11d79-dc0b-4cda-900e-3ebeb7206905" TargetMode="External"/><Relationship Id="rId139" Type="http://schemas.openxmlformats.org/officeDocument/2006/relationships/hyperlink" Target="https://www.circlehealthgroup.co.uk/hospitals/the-ridgeway-hospital" TargetMode="External"/><Relationship Id="rId290" Type="http://schemas.openxmlformats.org/officeDocument/2006/relationships/hyperlink" Target="https://www.sknclinics.co.uk/clinics/the-south/esher-high-street" TargetMode="External"/><Relationship Id="rId85" Type="http://schemas.openxmlformats.org/officeDocument/2006/relationships/hyperlink" Target="https://www.spirehealthcare.com/spire-leicester-hospital/treatments/skin-treatments/our-dermatology-consultants/" TargetMode="External"/><Relationship Id="rId150" Type="http://schemas.openxmlformats.org/officeDocument/2006/relationships/hyperlink" Target="https://www.circlehealthgroup.co.uk/hospitals/three-shires-hospital/private-dermatology-northampton" TargetMode="External"/><Relationship Id="rId171" Type="http://schemas.openxmlformats.org/officeDocument/2006/relationships/hyperlink" Target="https://www.sknclinics.co.uk/clinics/the-midlands/cambridge-brooklands-avenue" TargetMode="External"/><Relationship Id="rId192" Type="http://schemas.openxmlformats.org/officeDocument/2006/relationships/hyperlink" Target="https://www.sknclinics.co.uk/clinics/the-south/maidenhead-st-lukes-road" TargetMode="External"/><Relationship Id="rId206" Type="http://schemas.openxmlformats.org/officeDocument/2006/relationships/hyperlink" Target="https://www.sknclinics.co.uk/clinics/the-south/watford-the-avenue" TargetMode="External"/><Relationship Id="rId227" Type="http://schemas.openxmlformats.org/officeDocument/2006/relationships/hyperlink" Target="https://www.circlehealthgroup.co.uk/hospitals/ross-hall-clinic-braehead/private-dermatology-glasgow" TargetMode="External"/><Relationship Id="rId248" Type="http://schemas.openxmlformats.org/officeDocument/2006/relationships/hyperlink" Target="http://www.beaumont.ie/dermatology" TargetMode="External"/><Relationship Id="rId269" Type="http://schemas.openxmlformats.org/officeDocument/2006/relationships/hyperlink" Target="https://oxonahealth.co.uk/eczema-psoriasis-rosacea-clinic/" TargetMode="External"/><Relationship Id="rId12" Type="http://schemas.openxmlformats.org/officeDocument/2006/relationships/hyperlink" Target="https://www.nuffieldhealth.com/hospitals/bournemouth/treatments?category=dermatology" TargetMode="External"/><Relationship Id="rId33" Type="http://schemas.openxmlformats.org/officeDocument/2006/relationships/hyperlink" Target="https://www.fulwoodhallhospital.co.uk/specialists?query=Dermatology" TargetMode="External"/><Relationship Id="rId108" Type="http://schemas.openxmlformats.org/officeDocument/2006/relationships/hyperlink" Target="https://www.nuffieldhealth.com/hospitals/tees/treatments?category=dermatology" TargetMode="External"/><Relationship Id="rId129" Type="http://schemas.openxmlformats.org/officeDocument/2006/relationships/hyperlink" Target="https://www.circlehealthgroup.co.uk/hospitals/the-london-independent-hospital/private-dermatology-clinic-east-london" TargetMode="External"/><Relationship Id="rId280" Type="http://schemas.openxmlformats.org/officeDocument/2006/relationships/hyperlink" Target="https://www.oakshospital.co.uk/treatments/dermatology" TargetMode="External"/><Relationship Id="rId54" Type="http://schemas.openxmlformats.org/officeDocument/2006/relationships/hyperlink" Target="https://www.northdownshospital.co.uk/treatments/dermatology" TargetMode="External"/><Relationship Id="rId75" Type="http://schemas.openxmlformats.org/officeDocument/2006/relationships/hyperlink" Target="https://www.spirehealthcare.com/spire-dunedin-hospital/treatments/skin-treatments/" TargetMode="External"/><Relationship Id="rId96" Type="http://schemas.openxmlformats.org/officeDocument/2006/relationships/hyperlink" Target="https://www.spirehealthcare.com/spire-south-bank-hospital/treatments/skin-treatments/" TargetMode="External"/><Relationship Id="rId140" Type="http://schemas.openxmlformats.org/officeDocument/2006/relationships/hyperlink" Target="https://www.circlehealthgroup.co.uk/hospitals/the-runnymede-hospital/dermatology" TargetMode="External"/><Relationship Id="rId161" Type="http://schemas.openxmlformats.org/officeDocument/2006/relationships/hyperlink" Target="https://londondermatologyclinic.com/" TargetMode="External"/><Relationship Id="rId182" Type="http://schemas.openxmlformats.org/officeDocument/2006/relationships/hyperlink" Target="https://www.sknclinics.co.uk/clinics/the-north-and-scotland/liverpool-bold-street" TargetMode="External"/><Relationship Id="rId217" Type="http://schemas.openxmlformats.org/officeDocument/2006/relationships/hyperlink" Target="https://www.thelondonskinandhairclinic.com/find-a-dermatologist/" TargetMode="External"/><Relationship Id="rId6" Type="http://schemas.openxmlformats.org/officeDocument/2006/relationships/hyperlink" Target="https://dermaperfect.co.uk/about-dermaperfect/" TargetMode="External"/><Relationship Id="rId238" Type="http://schemas.openxmlformats.org/officeDocument/2006/relationships/hyperlink" Target="https://www.spirehealthcare.com/spire-yale-chesney-court-outpatient-and-diagnostic-centre/home/" TargetMode="External"/><Relationship Id="rId259" Type="http://schemas.openxmlformats.org/officeDocument/2006/relationships/hyperlink" Target="https://www.kerryskinclinic.ie/" TargetMode="External"/><Relationship Id="rId23" Type="http://schemas.openxmlformats.org/officeDocument/2006/relationships/hyperlink" Target="https://www.hcahealthcare.co.uk/facilities/the-lister-hospital/units-and-teams/chiswick-medical-centre" TargetMode="External"/><Relationship Id="rId119" Type="http://schemas.openxmlformats.org/officeDocument/2006/relationships/hyperlink" Target="https://www.circlehealthgroup.co.uk/hospitals/the-droitwich-spa-hospital/private-dermatology-droitwich" TargetMode="External"/><Relationship Id="rId270" Type="http://schemas.openxmlformats.org/officeDocument/2006/relationships/hyperlink" Target="https://www.stratumclinics.com/our-clinics/wimbledonandraynespark/" TargetMode="External"/><Relationship Id="rId291" Type="http://schemas.openxmlformats.org/officeDocument/2006/relationships/hyperlink" Target="https://www.sknclinics.co.uk/clinics/london/london-harley-street" TargetMode="External"/><Relationship Id="rId44" Type="http://schemas.openxmlformats.org/officeDocument/2006/relationships/hyperlink" Target="https://kims.org.uk/consultants/?search=&amp;related_service=1727&amp;related_treatment=&amp;location=" TargetMode="External"/><Relationship Id="rId65" Type="http://schemas.openxmlformats.org/officeDocument/2006/relationships/hyperlink" Target="https://www.royalfreeprivatepatients.com/specialties/dermatology/" TargetMode="External"/><Relationship Id="rId86" Type="http://schemas.openxmlformats.org/officeDocument/2006/relationships/hyperlink" Target="https://www.spirehealthcare.com/spire-little-aston-hospital/treatments/a-z/eczema-and-dermatitis-treatment/" TargetMode="External"/><Relationship Id="rId130" Type="http://schemas.openxmlformats.org/officeDocument/2006/relationships/hyperlink" Target="https://www.circlehealthgroup.co.uk/hospitals/the-manor-hospital/private-dermatology-bedford" TargetMode="External"/><Relationship Id="rId151" Type="http://schemas.openxmlformats.org/officeDocument/2006/relationships/hyperlink" Target="https://www.nuffieldhealth.com/hospitals/tunbridge-wells/treatments?category=dermatology" TargetMode="External"/><Relationship Id="rId172" Type="http://schemas.openxmlformats.org/officeDocument/2006/relationships/hyperlink" Target="https://www.sknclinics.co.uk/clinics/the-south/chelmsford-navigation-yard" TargetMode="External"/><Relationship Id="rId193" Type="http://schemas.openxmlformats.org/officeDocument/2006/relationships/hyperlink" Target="https://www.sknclinics.co.uk/clinics/the-north-and-scotland/manchester-albert-square" TargetMode="External"/><Relationship Id="rId207" Type="http://schemas.openxmlformats.org/officeDocument/2006/relationships/hyperlink" Target="https://www.sknclinics.co.uk/clinics/the-south/weybridge-baker-street" TargetMode="External"/><Relationship Id="rId228" Type="http://schemas.openxmlformats.org/officeDocument/2006/relationships/hyperlink" Target="https://www.circlehealthgroup.co.uk/hospitals/ross-hall-hospital/dermatology" TargetMode="External"/><Relationship Id="rId249" Type="http://schemas.openxmlformats.org/officeDocument/2006/relationships/hyperlink" Target="https://www.stjames.ie/services/med/dermatology/" TargetMode="External"/><Relationship Id="rId13" Type="http://schemas.openxmlformats.org/officeDocument/2006/relationships/hyperlink" Target="https://www.nuffieldhealth.com/hospitals/brentwood/treatments?category=dermatology" TargetMode="External"/><Relationship Id="rId109" Type="http://schemas.openxmlformats.org/officeDocument/2006/relationships/hyperlink" Target="https://www.teesvalleyhospital.co.uk/treatments/dermatology" TargetMode="External"/><Relationship Id="rId260" Type="http://schemas.openxmlformats.org/officeDocument/2006/relationships/hyperlink" Target="https://www.leeclinicdermatology.ie/dermatology-cork/common-skin-conditions" TargetMode="External"/><Relationship Id="rId281" Type="http://schemas.openxmlformats.org/officeDocument/2006/relationships/hyperlink" Target="https://www.parkhillhospital.co.uk/specialists?query=Dermatology" TargetMode="External"/><Relationship Id="rId34" Type="http://schemas.openxmlformats.org/officeDocument/2006/relationships/hyperlink" Target="https://www.hcahealthcare.co.uk/facilities/the-wellington-hospital/our-centres/golders-green-outpatients-and-diagnostics-centre" TargetMode="External"/><Relationship Id="rId55" Type="http://schemas.openxmlformats.org/officeDocument/2006/relationships/hyperlink" Target="https://www.nuffieldhealth.com/hospitals/north-staffordshire/treatments?category=dermatology" TargetMode="External"/><Relationship Id="rId76" Type="http://schemas.openxmlformats.org/officeDocument/2006/relationships/hyperlink" Target="https://www.spirehealthcare.com/spire-elland-hospital/treatments/skin-treatments/" TargetMode="External"/><Relationship Id="rId97" Type="http://schemas.openxmlformats.org/officeDocument/2006/relationships/hyperlink" Target="https://www.spirehealthcare.com/spire-southampton-hospital/treatments/skin-treatments/" TargetMode="External"/><Relationship Id="rId120" Type="http://schemas.openxmlformats.org/officeDocument/2006/relationships/hyperlink" Target="https://www.circlehealthgroup.co.uk/consultants?distance=15&amp;hospital=The%20Duchy%20Hospital&amp;hospitalId=709f6b25-e3e1-480c-84a7-4ed44f6573b8&amp;treatment=Dermatology&amp;treatmentId=498c24bd-cd97-48d8-8324-643bb8b8296c&amp;sort=score|Descending&amp;page=1&amp;perPage=18" TargetMode="External"/><Relationship Id="rId141" Type="http://schemas.openxmlformats.org/officeDocument/2006/relationships/hyperlink" Target="https://www.circlehealthgroup.co.uk/hospitals/the-saxon-clinic/private-skin-clinic-milton-keynes" TargetMode="External"/><Relationship Id="rId7" Type="http://schemas.openxmlformats.org/officeDocument/2006/relationships/hyperlink" Target="https://www.dermatologyconsulting.co.uk/" TargetMode="External"/><Relationship Id="rId162" Type="http://schemas.openxmlformats.org/officeDocument/2006/relationships/hyperlink" Target="https://londonmedical.co.uk/dermatology/" TargetMode="External"/><Relationship Id="rId183" Type="http://schemas.openxmlformats.org/officeDocument/2006/relationships/hyperlink" Target="https://www.sknclinics.co.uk/clinics/london/london-canary-wharf" TargetMode="External"/><Relationship Id="rId218" Type="http://schemas.openxmlformats.org/officeDocument/2006/relationships/hyperlink" Target="https://www.westbournecentre.com/treatments/dermatology" TargetMode="External"/><Relationship Id="rId239" Type="http://schemas.openxmlformats.org/officeDocument/2006/relationships/hyperlink" Target="https://www.spirehealthcare.com/spire-yale-hospital/treatments/skin-treatments/" TargetMode="External"/><Relationship Id="rId2" Type="http://schemas.openxmlformats.org/officeDocument/2006/relationships/hyperlink" Target="https://www.birminghamdermatologyclinic.co.uk/skin-treatments/skin-conditions/" TargetMode="External"/><Relationship Id="rId29" Type="http://schemas.openxmlformats.org/officeDocument/2006/relationships/hyperlink" Target="https://www.euxtonhallhospital.co.uk/specialists?query=Dermatology" TargetMode="External"/><Relationship Id="rId250" Type="http://schemas.openxmlformats.org/officeDocument/2006/relationships/hyperlink" Target="https://www.aungierclinic.ie/dermatology-acne-treatment/" TargetMode="External"/><Relationship Id="rId255" Type="http://schemas.openxmlformats.org/officeDocument/2006/relationships/hyperlink" Target="https://www.blackrockhealth.com/treatments-procedures/dermatology" TargetMode="External"/><Relationship Id="rId271" Type="http://schemas.openxmlformats.org/officeDocument/2006/relationships/hyperlink" Target="https://www.sulishospital.com/treatments/specialist-units/dermatology-unit" TargetMode="External"/><Relationship Id="rId276" Type="http://schemas.openxmlformats.org/officeDocument/2006/relationships/hyperlink" Target="https://www.cotswoldsurgicalpartners.co.uk/our-services/consultant-dermatology/" TargetMode="External"/><Relationship Id="rId292" Type="http://schemas.openxmlformats.org/officeDocument/2006/relationships/hyperlink" Target="https://www.sknclinics.co.uk/clinics/the-south/portsmouth-st-georges-square" TargetMode="External"/><Relationship Id="rId297" Type="http://schemas.openxmlformats.org/officeDocument/2006/relationships/hyperlink" Target="https://www.mater.ie/services/dermatology/" TargetMode="External"/><Relationship Id="rId24" Type="http://schemas.openxmlformats.org/officeDocument/2006/relationships/hyperlink" Target="https://www.circlehealthgroup.co.uk/hospitals/circle-reading-hospital/dermatology" TargetMode="External"/><Relationship Id="rId40" Type="http://schemas.openxmlformats.org/officeDocument/2006/relationships/hyperlink" Target="https://www.nuffieldhealth.com/hospitals/hereford/treatments?category=dermatology" TargetMode="External"/><Relationship Id="rId45" Type="http://schemas.openxmlformats.org/officeDocument/2006/relationships/hyperlink" Target="https://www.circlehealthgroup.co.uk/consultants/sohail-mansoor" TargetMode="External"/><Relationship Id="rId66" Type="http://schemas.openxmlformats.org/officeDocument/2006/relationships/hyperlink" Target="https://www.circlehealthgroup.co.uk/hospitals/sarum-road-hospital/dermatology" TargetMode="External"/><Relationship Id="rId87" Type="http://schemas.openxmlformats.org/officeDocument/2006/relationships/hyperlink" Target="https://www.spirehealthcare.com/spire-liverpool-hospital/treatments/skin-treatments/" TargetMode="External"/><Relationship Id="rId110" Type="http://schemas.openxmlformats.org/officeDocument/2006/relationships/hyperlink" Target="https://www.circlehealthgroup.co.uk/consultants?nationalSpecialityId=498c24bd-cd97-48d8-8324-643bb8b8296c&amp;hospitalId=deb71670-8355-4052-81ae-74a0bee62af0" TargetMode="External"/><Relationship Id="rId115" Type="http://schemas.openxmlformats.org/officeDocument/2006/relationships/hyperlink" Target="https://www.thecherwellhospital.co.uk/treatments/dermatology" TargetMode="External"/><Relationship Id="rId131" Type="http://schemas.openxmlformats.org/officeDocument/2006/relationships/hyperlink" Target="https://www.themedicalchambers.com/specialties/dermatology" TargetMode="External"/><Relationship Id="rId136" Type="http://schemas.openxmlformats.org/officeDocument/2006/relationships/hyperlink" Target="https://www.circlehealthgroup.co.uk/hospitals/the-princess-margaret-hospital/private-skin-care-and-dermatology-windsor" TargetMode="External"/><Relationship Id="rId157" Type="http://schemas.openxmlformats.org/officeDocument/2006/relationships/hyperlink" Target="https://www.circlehealthgroup.co.uk/hospitals/woodlands-hospital/private-skin-clinic-darlington" TargetMode="External"/><Relationship Id="rId178" Type="http://schemas.openxmlformats.org/officeDocument/2006/relationships/hyperlink" Target="https://www.sknclinics.co.uk/clinics/the-south/kent-bluewater" TargetMode="External"/><Relationship Id="rId301" Type="http://schemas.openxmlformats.org/officeDocument/2006/relationships/hyperlink" Target="https://www.spirehealthcare.com/spire-murrayfield-hospital-wirral/consultants/profiles/?filterConsultantType=undefined&amp;filterTreatmentSpeciality=Dermatology&amp;filterLocation=&amp;filterName=&amp;filterByBookable=false" TargetMode="External"/><Relationship Id="rId61" Type="http://schemas.openxmlformats.org/officeDocument/2006/relationships/hyperlink" Target="https://www.nuffieldhealth.com/hospitals/plymouth/treatments?category=dermatology" TargetMode="External"/><Relationship Id="rId82" Type="http://schemas.openxmlformats.org/officeDocument/2006/relationships/hyperlink" Target="https://www.spirehealthcare.com/spire-hull-and-east-riding-hospital/treatments/a-z/eczema-and-dermatitis/" TargetMode="External"/><Relationship Id="rId152" Type="http://schemas.openxmlformats.org/officeDocument/2006/relationships/hyperlink" Target="https://www.nuffieldhealth.com/hospitals/warwickshire/treatments?category=dermatology" TargetMode="External"/><Relationship Id="rId173" Type="http://schemas.openxmlformats.org/officeDocument/2006/relationships/hyperlink" Target="https://www.sknclinics.co.uk/clinics/the-midlands/cheltenham-montpellier-walk" TargetMode="External"/><Relationship Id="rId194" Type="http://schemas.openxmlformats.org/officeDocument/2006/relationships/hyperlink" Target="https://www.sknclinics.co.uk/clinics/the-north-and-scotland/manchester-st-james-square" TargetMode="External"/><Relationship Id="rId199" Type="http://schemas.openxmlformats.org/officeDocument/2006/relationships/hyperlink" Target="https://www.sknclinics.co.uk/clinics/the-midlands/northampton-cheyne-walk" TargetMode="External"/><Relationship Id="rId203" Type="http://schemas.openxmlformats.org/officeDocument/2006/relationships/hyperlink" Target="https://www.sknclinics.co.uk/clinics/the-south/seven-oaks-london-road" TargetMode="External"/><Relationship Id="rId208" Type="http://schemas.openxmlformats.org/officeDocument/2006/relationships/hyperlink" Target="https://www.sknclinics.co.uk/clinics/the-north-and-scotland/wilmslow-swan-street" TargetMode="External"/><Relationship Id="rId229" Type="http://schemas.openxmlformats.org/officeDocument/2006/relationships/hyperlink" Target="https://www.spirehealthcare.com/spire-edinburgh-hospitals-murrayfield-and-shawfair-park/treatments/skin-treatments/" TargetMode="External"/><Relationship Id="rId19" Type="http://schemas.openxmlformats.org/officeDocument/2006/relationships/hyperlink" Target="https://www.circlehealthgroup.co.uk/consultants/sandy-flann" TargetMode="External"/><Relationship Id="rId224" Type="http://schemas.openxmlformats.org/officeDocument/2006/relationships/hyperlink" Target="https://www.nuffieldhealth.com/hospitals/glasgow/treatments?category=dermatology" TargetMode="External"/><Relationship Id="rId240" Type="http://schemas.openxmlformats.org/officeDocument/2006/relationships/hyperlink" Target="https://diamondskincare.co.uk/" TargetMode="External"/><Relationship Id="rId245" Type="http://schemas.openxmlformats.org/officeDocument/2006/relationships/hyperlink" Target="http://www.theeczemaclinic.co.uk/" TargetMode="External"/><Relationship Id="rId261" Type="http://schemas.openxmlformats.org/officeDocument/2006/relationships/hyperlink" Target="https://www.theadareclinic.ie/" TargetMode="External"/><Relationship Id="rId266" Type="http://schemas.openxmlformats.org/officeDocument/2006/relationships/hyperlink" Target="https://www.london-dermatology-centre.co.uk/" TargetMode="External"/><Relationship Id="rId287" Type="http://schemas.openxmlformats.org/officeDocument/2006/relationships/hyperlink" Target="https://www.hcahealthcare.co.uk/facilities/the-princess-grace-hospital" TargetMode="External"/><Relationship Id="rId14" Type="http://schemas.openxmlformats.org/officeDocument/2006/relationships/hyperlink" Target="https://www.nuffieldhealth.com/hospitals/brighton/treatments?category=dermatology" TargetMode="External"/><Relationship Id="rId30" Type="http://schemas.openxmlformats.org/officeDocument/2006/relationships/hyperlink" Target="https://www.nuffieldhealth.com/hospitals/exeter/treatments?category=dermatology" TargetMode="External"/><Relationship Id="rId35" Type="http://schemas.openxmlformats.org/officeDocument/2006/relationships/hyperlink" Target="https://www.circlehealthgroup.co.uk/hospitals/goring-hall-hospital/private-skin-clinic-worthing" TargetMode="External"/><Relationship Id="rId56" Type="http://schemas.openxmlformats.org/officeDocument/2006/relationships/hyperlink" Target="https://www.nuffieldhealth.com/hospitals/nuffield-health-at-st-bartholomews-hospital/treatments?category=dermatology" TargetMode="External"/><Relationship Id="rId77" Type="http://schemas.openxmlformats.org/officeDocument/2006/relationships/hyperlink" Target="https://www.spirehealthcare.com/spire-fylde-coast-hospital/treatments/skin-treatments/" TargetMode="External"/><Relationship Id="rId100" Type="http://schemas.openxmlformats.org/officeDocument/2006/relationships/hyperlink" Target="https://www.spirehealthcare.com/spire-thames-valley-hospital/consultants/profiles/?filterConsultantType=consultant&amp;filterTreatmentSpeciality=Dermatology&amp;filterLocation=&amp;filterName=&amp;filterByBookable=false" TargetMode="External"/><Relationship Id="rId105" Type="http://schemas.openxmlformats.org/officeDocument/2006/relationships/hyperlink" Target="https://www.circlehealthgroup.co.uk/specialities/dermatology?hospitalId=622e25f7-b996-4a2c-b056-d6b3ab9a34cf" TargetMode="External"/><Relationship Id="rId126" Type="http://schemas.openxmlformats.org/officeDocument/2006/relationships/hyperlink" Target="https://www.circlehealthgroup.co.uk/hospitals/the-huddersfield-hospital/dermatology" TargetMode="External"/><Relationship Id="rId147" Type="http://schemas.openxmlformats.org/officeDocument/2006/relationships/hyperlink" Target="https://www.hcahealthcare.co.uk/facilities/the-wilmslow-hospital" TargetMode="External"/><Relationship Id="rId168" Type="http://schemas.openxmlformats.org/officeDocument/2006/relationships/hyperlink" Target="https://www.sknclinics.co.uk/clinics/the-south/brentwood-new-road" TargetMode="External"/><Relationship Id="rId282" Type="http://schemas.openxmlformats.org/officeDocument/2006/relationships/hyperlink" Target="https://www.spirehealthcare.com/spire-clare-park-hospital/treatments/skin-treatments/" TargetMode="External"/><Relationship Id="rId8" Type="http://schemas.openxmlformats.org/officeDocument/2006/relationships/hyperlink" Target="https://www.circlehealthgroup.co.uk/hospitals/bath-clinic/private-dermatology-bath" TargetMode="External"/><Relationship Id="rId51" Type="http://schemas.openxmlformats.org/officeDocument/2006/relationships/hyperlink" Target="https://www.mountstuarthospital.co.uk/treatments/dermatology" TargetMode="External"/><Relationship Id="rId72" Type="http://schemas.openxmlformats.org/officeDocument/2006/relationships/hyperlink" Target="https://www.spirehealthcare.com/spire-bushey-hospital/" TargetMode="External"/><Relationship Id="rId93" Type="http://schemas.openxmlformats.org/officeDocument/2006/relationships/hyperlink" Target="https://www.spirehealthcare.com/spire-parkway-hospital/treatments/skin-treatments/" TargetMode="External"/><Relationship Id="rId98" Type="http://schemas.openxmlformats.org/officeDocument/2006/relationships/hyperlink" Target="https://www.spirehealthcare.com/spire-st-anthonys-hospital/treatments/skin-treatments/" TargetMode="External"/><Relationship Id="rId121" Type="http://schemas.openxmlformats.org/officeDocument/2006/relationships/hyperlink" Target="https://www.circlehealthgroup.co.uk/consultants/janet-elizabeth-holder" TargetMode="External"/><Relationship Id="rId142" Type="http://schemas.openxmlformats.org/officeDocument/2006/relationships/hyperlink" Target="https://www.circlehealthgroup.co.uk/hospitals/the-shelburne-hospital" TargetMode="External"/><Relationship Id="rId163" Type="http://schemas.openxmlformats.org/officeDocument/2006/relationships/hyperlink" Target="https://www.ouh.nhs.uk/privatehealthcare/services/medicine-rehab-cardiac/dermatology/consultants.aspx" TargetMode="External"/><Relationship Id="rId184" Type="http://schemas.openxmlformats.org/officeDocument/2006/relationships/hyperlink" Target="https://www.sknclinics.co.uk/clinics/london/london-chiswick" TargetMode="External"/><Relationship Id="rId189" Type="http://schemas.openxmlformats.org/officeDocument/2006/relationships/hyperlink" Target="https://www.sknclinics.co.uk/clinics/london/muswell-hill" TargetMode="External"/><Relationship Id="rId219" Type="http://schemas.openxmlformats.org/officeDocument/2006/relationships/hyperlink" Target="http://claroskinclinic.co.uk/index.html" TargetMode="External"/><Relationship Id="rId3" Type="http://schemas.openxmlformats.org/officeDocument/2006/relationships/hyperlink" Target="https://www.cadoganclinic.com/skin-clinic-london/" TargetMode="External"/><Relationship Id="rId214" Type="http://schemas.openxmlformats.org/officeDocument/2006/relationships/hyperlink" Target="https://www.skin55.co.uk/" TargetMode="External"/><Relationship Id="rId230" Type="http://schemas.openxmlformats.org/officeDocument/2006/relationships/hyperlink" Target="https://www.edinburghclinic.com/services/dermatology/" TargetMode="External"/><Relationship Id="rId235" Type="http://schemas.openxmlformats.org/officeDocument/2006/relationships/hyperlink" Target="https://www.dermatologyclinicwales.co.uk/" TargetMode="External"/><Relationship Id="rId251" Type="http://schemas.openxmlformats.org/officeDocument/2006/relationships/hyperlink" Target="https://www.beaconconsultantsclinic.com/practices-and-departments/dermatology/" TargetMode="External"/><Relationship Id="rId256" Type="http://schemas.openxmlformats.org/officeDocument/2006/relationships/hyperlink" Target="https://www.materprivate.ie/our-services/dermatology" TargetMode="External"/><Relationship Id="rId277" Type="http://schemas.openxmlformats.org/officeDocument/2006/relationships/hyperlink" Target="https://www.ashteadhospital.co.uk/treatments/dermatology" TargetMode="External"/><Relationship Id="rId298" Type="http://schemas.openxmlformats.org/officeDocument/2006/relationships/hyperlink" Target="https://www.stvincents.ie/clinics/dermatology-clinic/" TargetMode="External"/><Relationship Id="rId25" Type="http://schemas.openxmlformats.org/officeDocument/2006/relationships/hyperlink" Target="https://clevelandcliniclondon.uk/clinical-institutes/medical-subspecialties/dermatology" TargetMode="External"/><Relationship Id="rId46" Type="http://schemas.openxmlformats.org/officeDocument/2006/relationships/hyperlink" Target="https://kingstonprivatehealth.co.uk/specialities/dermatology/" TargetMode="External"/><Relationship Id="rId67" Type="http://schemas.openxmlformats.org/officeDocument/2006/relationships/hyperlink" Target="https://www.circlehealthgroup.co.uk/hospitals/shirley-oaks-hospital/dermatology" TargetMode="External"/><Relationship Id="rId116" Type="http://schemas.openxmlformats.org/officeDocument/2006/relationships/hyperlink" Target="https://www.circlehealthgroup.co.uk/consultants?nationalSpecialityId=498c24bd-cd97-48d8-8324-643bb8b8296c&amp;hospitalId=6e36fd62-2da2-4ecd-8ed7-ab10c85a71c4" TargetMode="External"/><Relationship Id="rId137" Type="http://schemas.openxmlformats.org/officeDocument/2006/relationships/hyperlink" Target="https://www.circlehealthgroup.co.uk/specialities/dermatology?hospitalId=d99a3c2c-9ffd-4221-95ae-8f5c2d1e0d0b" TargetMode="External"/><Relationship Id="rId158" Type="http://schemas.openxmlformats.org/officeDocument/2006/relationships/hyperlink" Target="https://www.woodthorpehospital.co.uk/treatments/dermatology" TargetMode="External"/><Relationship Id="rId272" Type="http://schemas.openxmlformats.org/officeDocument/2006/relationships/hyperlink" Target="https://midlandhealth.co.uk/dermatology/dermatology-consultations/" TargetMode="External"/><Relationship Id="rId293" Type="http://schemas.openxmlformats.org/officeDocument/2006/relationships/hyperlink" Target="https://www.sknclinics.co.uk/clinics/the-south/reading-london-street" TargetMode="External"/><Relationship Id="rId302" Type="http://schemas.openxmlformats.org/officeDocument/2006/relationships/printerSettings" Target="../printerSettings/printerSettings14.bin"/><Relationship Id="rId20" Type="http://schemas.openxmlformats.org/officeDocument/2006/relationships/hyperlink" Target="https://www.nuffieldhealth.com/hospitals/cheltenham/treatments?category=dermatology" TargetMode="External"/><Relationship Id="rId41" Type="http://schemas.openxmlformats.org/officeDocument/2006/relationships/hyperlink" Target="https://www.highgatehospital.co.uk/services/dermatology/" TargetMode="External"/><Relationship Id="rId62" Type="http://schemas.openxmlformats.org/officeDocument/2006/relationships/hyperlink" Target="https://www.renacreshospital.co.uk/specialists?query=dermatology" TargetMode="External"/><Relationship Id="rId83" Type="http://schemas.openxmlformats.org/officeDocument/2006/relationships/hyperlink" Target="https://www.spirehealthcare.com/spire-kenmore-clinic/" TargetMode="External"/><Relationship Id="rId88" Type="http://schemas.openxmlformats.org/officeDocument/2006/relationships/hyperlink" Target="https://www.spirehealthcare.com/spire-manchester-clinic-hale/home/" TargetMode="External"/><Relationship Id="rId111" Type="http://schemas.openxmlformats.org/officeDocument/2006/relationships/hyperlink" Target="https://www.circlehealthgroup.co.uk/hospitals/the-beardwood-hospital/dermatology" TargetMode="External"/><Relationship Id="rId132" Type="http://schemas.openxmlformats.org/officeDocument/2006/relationships/hyperlink" Target="https://www.circlehealthgroup.co.uk/hospitals/the-meriden-hospital/private-dermatology-coventry" TargetMode="External"/><Relationship Id="rId153" Type="http://schemas.openxmlformats.org/officeDocument/2006/relationships/hyperlink" Target="https://www.nuffieldhealth.com/hospitals/wessex/treatments?category=dermatology" TargetMode="External"/><Relationship Id="rId174" Type="http://schemas.openxmlformats.org/officeDocument/2006/relationships/hyperlink" Target="https://www.sknclinics.co.uk/clinics/the-north-and-scotland/chester-vicars-lane" TargetMode="External"/><Relationship Id="rId179" Type="http://schemas.openxmlformats.org/officeDocument/2006/relationships/hyperlink" Target="https://www.sknclinics.co.uk/clinics/the-midlands/leamington-waterloo-place" TargetMode="External"/><Relationship Id="rId195" Type="http://schemas.openxmlformats.org/officeDocument/2006/relationships/hyperlink" Target="https://www.sknclinics.co.uk/clinics/the-north-and-scotland/middlesbrough-james-cook" TargetMode="External"/><Relationship Id="rId209" Type="http://schemas.openxmlformats.org/officeDocument/2006/relationships/hyperlink" Target="https://www.sknclinics.co.uk/clinics/the-south/windsor-peascod-street" TargetMode="External"/><Relationship Id="rId190" Type="http://schemas.openxmlformats.org/officeDocument/2006/relationships/hyperlink" Target="https://www.sknclinics.co.uk/clinics/london/london-south-woodford" TargetMode="External"/><Relationship Id="rId204" Type="http://schemas.openxmlformats.org/officeDocument/2006/relationships/hyperlink" Target="https://www.sknclinics.co.uk/clinics/the-north-and-scotland/sheffield-psalter-lane" TargetMode="External"/><Relationship Id="rId220" Type="http://schemas.openxmlformats.org/officeDocument/2006/relationships/hyperlink" Target="https://kingsbridgeprivatehospital.com/belfast/treatments-surgeries/outpatient-clinics/specialist-clinics/dermatology-clinic/" TargetMode="External"/><Relationship Id="rId225" Type="http://schemas.openxmlformats.org/officeDocument/2006/relationships/hyperlink" Target="https://www.circlehealthgroup.co.uk/hospitals/kings-park-hospital/dermatology" TargetMode="External"/><Relationship Id="rId241" Type="http://schemas.openxmlformats.org/officeDocument/2006/relationships/hyperlink" Target="https://www.pennantprivatemedical.co.uk/our-services/private-dermatologist/" TargetMode="External"/><Relationship Id="rId246" Type="http://schemas.openxmlformats.org/officeDocument/2006/relationships/hyperlink" Target="https://www.baggotstreetdermatology.ie/" TargetMode="External"/><Relationship Id="rId267" Type="http://schemas.openxmlformats.org/officeDocument/2006/relationships/hyperlink" Target="https://dermconsult.co.uk/" TargetMode="External"/><Relationship Id="rId288" Type="http://schemas.openxmlformats.org/officeDocument/2006/relationships/hyperlink" Target="https://www.woodlandhospital.co.uk/treatments/dermatology" TargetMode="External"/><Relationship Id="rId15" Type="http://schemas.openxmlformats.org/officeDocument/2006/relationships/hyperlink" Target="https://www.nuffieldhealth.com/hospitals/bristol/treatments?category=dermatology" TargetMode="External"/><Relationship Id="rId36" Type="http://schemas.openxmlformats.org/officeDocument/2006/relationships/hyperlink" Target="https://www.nuffieldhealth.com/hospitals/guildford/treatments?category=dermatology" TargetMode="External"/><Relationship Id="rId57" Type="http://schemas.openxmlformats.org/officeDocument/2006/relationships/hyperlink" Target="https://www.oaklands-hospital.co.uk/specialists?query=Dermatology" TargetMode="External"/><Relationship Id="rId106" Type="http://schemas.openxmlformats.org/officeDocument/2006/relationships/hyperlink" Target="https://www.circlehealthgroup.co.uk/hospitals/syon-clinic/dermatology" TargetMode="External"/><Relationship Id="rId127" Type="http://schemas.openxmlformats.org/officeDocument/2006/relationships/hyperlink" Target="https://www.circlehealthgroup.co.uk/consultants?hospitalId=fd3ac1ab-2ba2-42c5-b8c7-06ebaadbaccf&amp;page=1&amp;perPage=18" TargetMode="External"/><Relationship Id="rId262" Type="http://schemas.openxmlformats.org/officeDocument/2006/relationships/hyperlink" Target="https://upmc.ie/services/dermatology" TargetMode="External"/><Relationship Id="rId283" Type="http://schemas.openxmlformats.org/officeDocument/2006/relationships/hyperlink" Target="https://www.spirehealthcare.com/spire-claremont-hospital/treatments-and-services/a-z/eczema-and-dermatitis-treatment/" TargetMode="External"/><Relationship Id="rId10" Type="http://schemas.openxmlformats.org/officeDocument/2006/relationships/hyperlink" Target="https://www.benendenhospital.org.uk/treatments-services/dermatology/eczema-treatment/" TargetMode="External"/><Relationship Id="rId31" Type="http://schemas.openxmlformats.org/officeDocument/2006/relationships/hyperlink" Target="https://www.exetermedical.co.uk/specialists?query=Dermatology" TargetMode="External"/><Relationship Id="rId52" Type="http://schemas.openxmlformats.org/officeDocument/2006/relationships/hyperlink" Target="https://www.newhallhospital.co.uk/treatments/dermatology" TargetMode="External"/><Relationship Id="rId73" Type="http://schemas.openxmlformats.org/officeDocument/2006/relationships/hyperlink" Target="https://www.spirehealthcare.com/spire-cambridge-lea-hospital/treatments/skin-treatments/" TargetMode="External"/><Relationship Id="rId78" Type="http://schemas.openxmlformats.org/officeDocument/2006/relationships/hyperlink" Target="https://www.spirehealthcare.com/spire-gatwick-park-hospital/treatments/skin-treatments/" TargetMode="External"/><Relationship Id="rId94" Type="http://schemas.openxmlformats.org/officeDocument/2006/relationships/hyperlink" Target="https://www.spirehealthcare.com/spire-portsmouth-hospital/treatments/skin-treatments/" TargetMode="External"/><Relationship Id="rId99" Type="http://schemas.openxmlformats.org/officeDocument/2006/relationships/hyperlink" Target="https://www.spirehealthcare.com/spire-tarporley-clinic/home/" TargetMode="External"/><Relationship Id="rId101" Type="http://schemas.openxmlformats.org/officeDocument/2006/relationships/hyperlink" Target="https://www.spirehealthcare.com/spire-tunbridge-wells-hospital/treatments/skin-treatments/" TargetMode="External"/><Relationship Id="rId122" Type="http://schemas.openxmlformats.org/officeDocument/2006/relationships/hyperlink" Target="https://www.circlehealthgroup.co.uk/hospitals/the-harbour-hospital/private-dermatology-poole" TargetMode="External"/><Relationship Id="rId143" Type="http://schemas.openxmlformats.org/officeDocument/2006/relationships/hyperlink" Target="https://www.circlehealthgroup.co.uk/hospitals/the-sloane-hospital?hospitalId=f0c39daa-f4ab-4996-a2ab-67d302eb06b5" TargetMode="External"/><Relationship Id="rId148" Type="http://schemas.openxmlformats.org/officeDocument/2006/relationships/hyperlink" Target="https://www.circlehealthgroup.co.uk/hospitals/the-winterbourne-hospital/private-dermatology-dorchester" TargetMode="External"/><Relationship Id="rId164" Type="http://schemas.openxmlformats.org/officeDocument/2006/relationships/hyperlink" Target="https://www.sknclinics.co.uk/clinics/london/barnet-high-street" TargetMode="External"/><Relationship Id="rId169" Type="http://schemas.openxmlformats.org/officeDocument/2006/relationships/hyperlink" Target="https://www.sknclinics.co.uk/clinics/the-south/brighton-jubilee-street" TargetMode="External"/><Relationship Id="rId185" Type="http://schemas.openxmlformats.org/officeDocument/2006/relationships/hyperlink" Target="https://www.sknclinics.co.uk/clinics/london/clapham-lavender-hill" TargetMode="External"/><Relationship Id="rId4" Type="http://schemas.openxmlformats.org/officeDocument/2006/relationships/hyperlink" Target="https://cedarsderm.co.uk/" TargetMode="External"/><Relationship Id="rId9" Type="http://schemas.openxmlformats.org/officeDocument/2006/relationships/hyperlink" Target="https://www.circlehealthgroup.co.uk/hospitals/the-beaumont-hospital/dermatology" TargetMode="External"/><Relationship Id="rId180" Type="http://schemas.openxmlformats.org/officeDocument/2006/relationships/hyperlink" Target="https://www.sknclinics.co.uk/clinics/the-north-and-scotland/leeds-street-lane" TargetMode="External"/><Relationship Id="rId210" Type="http://schemas.openxmlformats.org/officeDocument/2006/relationships/hyperlink" Target="https://www.sknclinics.co.uk/clinics/the-midlands/wolverhampton-compton-road" TargetMode="External"/><Relationship Id="rId215" Type="http://schemas.openxmlformats.org/officeDocument/2006/relationships/hyperlink" Target="https://www.stmichaelsclinic.co.uk/dermatology/" TargetMode="External"/><Relationship Id="rId236" Type="http://schemas.openxmlformats.org/officeDocument/2006/relationships/hyperlink" Target="https://www.nuffieldhealth.com/hospitals/cardiff-and-vale/treatments?category=dermatology" TargetMode="External"/><Relationship Id="rId257" Type="http://schemas.openxmlformats.org/officeDocument/2006/relationships/hyperlink" Target="https://www.edenparkmedical.ie/skin-clinic" TargetMode="External"/><Relationship Id="rId278" Type="http://schemas.openxmlformats.org/officeDocument/2006/relationships/hyperlink" Target="https://www.beaconparkhospital.co.uk/specialists?query=dermatology" TargetMode="External"/><Relationship Id="rId26" Type="http://schemas.openxmlformats.org/officeDocument/2006/relationships/hyperlink" Target="https://www.clinicalondon.co.uk/consultants/" TargetMode="External"/><Relationship Id="rId231" Type="http://schemas.openxmlformats.org/officeDocument/2006/relationships/hyperlink" Target="https://www.sknclinics.co.uk/clinics/the-north-and-scotland/aberdeen-union-street" TargetMode="External"/><Relationship Id="rId252" Type="http://schemas.openxmlformats.org/officeDocument/2006/relationships/hyperlink" Target="https://www.beaconhospital.ie/department-service/dermatology/" TargetMode="External"/><Relationship Id="rId273" Type="http://schemas.openxmlformats.org/officeDocument/2006/relationships/hyperlink" Target="https://www.thelondonclinic.co.uk/services/diagnostics/dermatology-clinic" TargetMode="External"/><Relationship Id="rId294" Type="http://schemas.openxmlformats.org/officeDocument/2006/relationships/hyperlink" Target="https://thedevonshireclinic.co.uk/dermatologists-in-london/" TargetMode="External"/><Relationship Id="rId47" Type="http://schemas.openxmlformats.org/officeDocument/2006/relationships/hyperlink" Target="https://www.nuffieldhealth.com/hospitals/leeds/treatments?category=dermatology" TargetMode="External"/><Relationship Id="rId68" Type="http://schemas.openxmlformats.org/officeDocument/2006/relationships/hyperlink" Target="https://www.nuffieldhealth.com/hospitals/shrewsbury/treatments?category=dermatology" TargetMode="External"/><Relationship Id="rId89" Type="http://schemas.openxmlformats.org/officeDocument/2006/relationships/hyperlink" Target="https://www.spirehealthcare.com/spire-manchester-hospital/treatments/skin-treatments/" TargetMode="External"/><Relationship Id="rId112" Type="http://schemas.openxmlformats.org/officeDocument/2006/relationships/hyperlink" Target="https://www.circlehealthgroup.co.uk/hospitals/the-blackheath-hospital/private-dermatology-greenwich" TargetMode="External"/><Relationship Id="rId133" Type="http://schemas.openxmlformats.org/officeDocument/2006/relationships/hyperlink" Target="https://themontefiorehospital.co.uk/our-consultants/dermatology" TargetMode="External"/><Relationship Id="rId154" Type="http://schemas.openxmlformats.org/officeDocument/2006/relationships/hyperlink" Target="https://www.winfieldhospital.co.uk/treatments/dermatology" TargetMode="External"/><Relationship Id="rId175" Type="http://schemas.openxmlformats.org/officeDocument/2006/relationships/hyperlink" Target="https://www.sknclinics.co.uk/clinics/the-south/epsom-rowan-house" TargetMode="External"/><Relationship Id="rId196" Type="http://schemas.openxmlformats.org/officeDocument/2006/relationships/hyperlink" Target="https://www.sknclinics.co.uk/clinics/the-midlands/milton-keynes-the-hub" TargetMode="External"/><Relationship Id="rId200" Type="http://schemas.openxmlformats.org/officeDocument/2006/relationships/hyperlink" Target="https://www.sknclinics.co.uk/clinics/the-midlands/norwich-unthank-road" TargetMode="External"/><Relationship Id="rId16" Type="http://schemas.openxmlformats.org/officeDocument/2006/relationships/hyperlink" Target="https://www.nuffieldhealth.com/hospitals/cambridge/treatments?category=dermatology" TargetMode="External"/><Relationship Id="rId221" Type="http://schemas.openxmlformats.org/officeDocument/2006/relationships/hyperlink" Target="https://www.hillsboroughprivateclinic.com/treatments/dermatology/" TargetMode="External"/><Relationship Id="rId242" Type="http://schemas.openxmlformats.org/officeDocument/2006/relationships/hyperlink" Target="https://www.sknclinics.co.uk/clinics/the-midlands/cardiff-charles-street" TargetMode="External"/><Relationship Id="rId263" Type="http://schemas.openxmlformats.org/officeDocument/2006/relationships/hyperlink" Target="https://www.dermasurge.co.uk/" TargetMode="External"/><Relationship Id="rId284" Type="http://schemas.openxmlformats.org/officeDocument/2006/relationships/hyperlink" Target="https://www.spirehealthcare.com/spire-london-east-hospital/treatments/skin-treatments/" TargetMode="External"/><Relationship Id="rId37" Type="http://schemas.openxmlformats.org/officeDocument/2006/relationships/hyperlink" Target="https://guysandstthomasprivatehealthcare.co.uk/services/dermatology/" TargetMode="External"/><Relationship Id="rId58" Type="http://schemas.openxmlformats.org/officeDocument/2006/relationships/hyperlink" Target="https://www.onehealthcare.co.uk/treatment-category/hatfield/dermatology-hatfield/" TargetMode="External"/><Relationship Id="rId79" Type="http://schemas.openxmlformats.org/officeDocument/2006/relationships/hyperlink" Target="https://www.spirehealthcare.com/spire-harpenden-hospital/treatments/skin-treatments/" TargetMode="External"/><Relationship Id="rId102" Type="http://schemas.openxmlformats.org/officeDocument/2006/relationships/hyperlink" Target="https://www.spirehealthcare.com/spire-washington-hospital/treatments/skin-treatments/meet-the-team-dermatologists/" TargetMode="External"/><Relationship Id="rId123" Type="http://schemas.openxmlformats.org/officeDocument/2006/relationships/hyperlink" Target="https://www.hcahealthcare.co.uk/facilities/the-harley-street-clinic" TargetMode="External"/><Relationship Id="rId144" Type="http://schemas.openxmlformats.org/officeDocument/2006/relationships/hyperlink" Target="https://www.theskinclinic.com/" TargetMode="External"/><Relationship Id="rId90" Type="http://schemas.openxmlformats.org/officeDocument/2006/relationships/hyperlink" Target="https://www.spirehealthcare.com/spire-methley-park-hospital/treatments/skin-treatments/" TargetMode="External"/><Relationship Id="rId165" Type="http://schemas.openxmlformats.org/officeDocument/2006/relationships/hyperlink" Target="https://www.sknclinics.co.uk/clinics/the-midlands/birmingham-harborne-road" TargetMode="External"/><Relationship Id="rId186" Type="http://schemas.openxmlformats.org/officeDocument/2006/relationships/hyperlink" Target="https://www.sknclinics.co.uk/clinics/london/london-ealing-broadway" TargetMode="External"/><Relationship Id="rId211" Type="http://schemas.openxmlformats.org/officeDocument/2006/relationships/hyperlink" Target="https://www.skincarenetwork.co.uk/dermatology/" TargetMode="External"/><Relationship Id="rId232" Type="http://schemas.openxmlformats.org/officeDocument/2006/relationships/hyperlink" Target="https://www.sknclinics.co.uk/clinics/the-north-and-scotland/edinburgh-hanover-street" TargetMode="External"/><Relationship Id="rId253" Type="http://schemas.openxmlformats.org/officeDocument/2006/relationships/hyperlink" Target="https://www.bonsecours.ie/dublin/departments/dermatology1" TargetMode="External"/><Relationship Id="rId274" Type="http://schemas.openxmlformats.org/officeDocument/2006/relationships/hyperlink" Target="https://everythingskin.co.uk/dermatology/" TargetMode="External"/><Relationship Id="rId295" Type="http://schemas.openxmlformats.org/officeDocument/2006/relationships/hyperlink" Target="https://www.circlehealthgroup.co.uk/specialities/dermatology?hospitalId=38be1567-bae6-43db-a8bd-4b7be89d8f35" TargetMode="External"/><Relationship Id="rId27" Type="http://schemas.openxmlformats.org/officeDocument/2006/relationships/hyperlink" Target="https://www.cromwellhospital.com/services-specialties/dermatology/" TargetMode="External"/><Relationship Id="rId48" Type="http://schemas.openxmlformats.org/officeDocument/2006/relationships/hyperlink" Target="https://www.nuffieldhealth.com/hospitals/leicester/treatments?category=dermatology" TargetMode="External"/><Relationship Id="rId69" Type="http://schemas.openxmlformats.org/officeDocument/2006/relationships/hyperlink" Target="https://www.spirehealthcare.com/spire-alexandra-hospital/treatments/skin-treatments/" TargetMode="External"/><Relationship Id="rId113" Type="http://schemas.openxmlformats.org/officeDocument/2006/relationships/hyperlink" Target="https://www.circlehealthgroup.co.uk/specialities/dermatology?hospitalId=d6e3345c-ca03-4ef6-925f-c941f13c3971" TargetMode="External"/><Relationship Id="rId134" Type="http://schemas.openxmlformats.org/officeDocument/2006/relationships/hyperlink" Target="https://www.circlehealthgroup.co.uk/hospitals/the-park-hospital/private-dermatology-nottingham" TargetMode="External"/><Relationship Id="rId80" Type="http://schemas.openxmlformats.org/officeDocument/2006/relationships/hyperlink" Target="https://www.spirehealthcare.com/spire-hartswood-hospital/treatments/skin-treatments/" TargetMode="External"/><Relationship Id="rId155" Type="http://schemas.openxmlformats.org/officeDocument/2006/relationships/hyperlink" Target="https://www.nuffieldhealth.com/hospitals/woking/treatments/dermatological-surgery" TargetMode="External"/><Relationship Id="rId176" Type="http://schemas.openxmlformats.org/officeDocument/2006/relationships/hyperlink" Target="https://www.sknclinics.co.uk/clinics/the-south/guildford-st-marys" TargetMode="External"/><Relationship Id="rId197" Type="http://schemas.openxmlformats.org/officeDocument/2006/relationships/hyperlink" Target="https://www.sknclinics.co.uk/clinics/the-north-and-scotland/nantwich-welsh-row" TargetMode="External"/><Relationship Id="rId201" Type="http://schemas.openxmlformats.org/officeDocument/2006/relationships/hyperlink" Target="https://www.sknclinics.co.uk/clinics/the-midlands/nottingham-mapperley-park" TargetMode="External"/><Relationship Id="rId222" Type="http://schemas.openxmlformats.org/officeDocument/2006/relationships/hyperlink" Target="https://ulsterindependentclinic.com/Specialism/dermatology/" TargetMode="External"/><Relationship Id="rId243" Type="http://schemas.openxmlformats.org/officeDocument/2006/relationships/hyperlink" Target="https://www.stjosephshospital.co.uk/treatments/specialities/dermatology/" TargetMode="External"/><Relationship Id="rId264" Type="http://schemas.openxmlformats.org/officeDocument/2006/relationships/hyperlink" Target="https://walkin-clinic.co.uk/dermatology" TargetMode="External"/><Relationship Id="rId285" Type="http://schemas.openxmlformats.org/officeDocument/2006/relationships/hyperlink" Target="https://www.berkshireindependenthospital.co.uk/treatments/dermatology" TargetMode="External"/><Relationship Id="rId17" Type="http://schemas.openxmlformats.org/officeDocument/2006/relationships/hyperlink" Target="http://www.candoverclinic.com/clinical-services/dermatology/" TargetMode="External"/><Relationship Id="rId38" Type="http://schemas.openxmlformats.org/officeDocument/2006/relationships/hyperlink" Target="https://www.nuffieldhealth.com/hospitals/haywards-heath/treatments?category=dermatology" TargetMode="External"/><Relationship Id="rId59" Type="http://schemas.openxmlformats.org/officeDocument/2006/relationships/hyperlink" Target="https://www.nuffieldhealth.com/hospitals/oxford/treatments?category=dermatology" TargetMode="External"/><Relationship Id="rId103" Type="http://schemas.openxmlformats.org/officeDocument/2006/relationships/hyperlink" Target="https://www.spirehealthcare.com/spire-wellesley-hospital/treatments/skin-treatments/" TargetMode="External"/><Relationship Id="rId124" Type="http://schemas.openxmlformats.org/officeDocument/2006/relationships/hyperlink" Target="https://www.circlehealthgroup.co.uk/hospitals/the-highfield-hospital/private-dermatology-rochdale" TargetMode="External"/><Relationship Id="rId70" Type="http://schemas.openxmlformats.org/officeDocument/2006/relationships/hyperlink" Target="https://www.spirehealthcare.com/spire-bristol-hospital/treatments/a-z/eczema-and-dermatitis-treatment/" TargetMode="External"/><Relationship Id="rId91" Type="http://schemas.openxmlformats.org/officeDocument/2006/relationships/hyperlink" Target="https://www.spirehealthcare.com/spire-norwich-hospital/treatments/skin-treatments/" TargetMode="External"/><Relationship Id="rId145" Type="http://schemas.openxmlformats.org/officeDocument/2006/relationships/hyperlink" Target="https://www.hcahealthcare.co.uk/facilities/the-wellington-hospital" TargetMode="External"/><Relationship Id="rId166" Type="http://schemas.openxmlformats.org/officeDocument/2006/relationships/hyperlink" Target="https://www.sknclinics.co.uk/clinics/the-midlands/birmingham-temple-street" TargetMode="External"/><Relationship Id="rId187" Type="http://schemas.openxmlformats.org/officeDocument/2006/relationships/hyperlink" Target="https://www.sknclinics.co.uk/clinics/london/harrow-station-road" TargetMode="External"/><Relationship Id="rId1" Type="http://schemas.openxmlformats.org/officeDocument/2006/relationships/hyperlink" Target="https://onewelbeck.com/dermatology-allergy/our-team/dermatology-team/" TargetMode="External"/><Relationship Id="rId212" Type="http://schemas.openxmlformats.org/officeDocument/2006/relationships/hyperlink" Target="https://108harleystreet.co.uk/clinics/skin/skin-clinic-team/" TargetMode="External"/><Relationship Id="rId233" Type="http://schemas.openxmlformats.org/officeDocument/2006/relationships/hyperlink" Target="https://www.sknclinics.co.uk/clinics/the-north-and-scotland/glasgow-gordon-street" TargetMode="External"/><Relationship Id="rId254" Type="http://schemas.openxmlformats.org/officeDocument/2006/relationships/hyperlink" Target="https://www.blackrockhealth.com/treatments-procedures/dermatology" TargetMode="External"/><Relationship Id="rId28" Type="http://schemas.openxmlformats.org/officeDocument/2006/relationships/hyperlink" Target="https://www.nuffieldhealth.com/hospitals/derby/treatments?category=dermatology" TargetMode="External"/><Relationship Id="rId49" Type="http://schemas.openxmlformats.org/officeDocument/2006/relationships/hyperlink" Target="https://www.hcahealthcare.co.uk/facilities/london-bridge-hospital" TargetMode="External"/><Relationship Id="rId114" Type="http://schemas.openxmlformats.org/officeDocument/2006/relationships/hyperlink" Target="https://www.circlehealthgroup.co.uk/hospitals/the-chaucer-hospital/private-dermatology-canterbury" TargetMode="External"/><Relationship Id="rId275" Type="http://schemas.openxmlformats.org/officeDocument/2006/relationships/hyperlink" Target="https://www.southwestdermatology.co.uk/skin-treatments/" TargetMode="External"/><Relationship Id="rId296" Type="http://schemas.openxmlformats.org/officeDocument/2006/relationships/hyperlink" Target="https://www.blackrockhealth.com/treatments-procedures/dermatology" TargetMode="External"/><Relationship Id="rId300" Type="http://schemas.openxmlformats.org/officeDocument/2006/relationships/hyperlink" Target="https://www.harleyhealthcentre.com/dermatology" TargetMode="External"/><Relationship Id="rId60" Type="http://schemas.openxmlformats.org/officeDocument/2006/relationships/hyperlink" Target="https://www.pinehillhospital.co.uk/specialists?query=dermatology" TargetMode="External"/><Relationship Id="rId81" Type="http://schemas.openxmlformats.org/officeDocument/2006/relationships/hyperlink" Target="https://www.spirehealthcare.com/spire-hesslewood-clinic/home/" TargetMode="External"/><Relationship Id="rId135" Type="http://schemas.openxmlformats.org/officeDocument/2006/relationships/hyperlink" Target="https://www.hcahealthcare.co.uk/facilities/the-portland-hospital" TargetMode="External"/><Relationship Id="rId156" Type="http://schemas.openxmlformats.org/officeDocument/2006/relationships/hyperlink" Target="https://www.nuffieldhealth.com/hospitals/wolverhampton/treatments?category=dermatology" TargetMode="External"/><Relationship Id="rId177" Type="http://schemas.openxmlformats.org/officeDocument/2006/relationships/hyperlink" Target="https://www.sknclinics.co.uk/clinics/the-south/haywards-heath-south-road" TargetMode="External"/><Relationship Id="rId198" Type="http://schemas.openxmlformats.org/officeDocument/2006/relationships/hyperlink" Target="https://www.sknclinics.co.uk/clinics/the-north-and-scotland/newcastle-grey-street" TargetMode="External"/><Relationship Id="rId202" Type="http://schemas.openxmlformats.org/officeDocument/2006/relationships/hyperlink" Target="https://www.sknclinics.co.uk/clinics/the-south/plymouth-hyde-park" TargetMode="External"/><Relationship Id="rId223" Type="http://schemas.openxmlformats.org/officeDocument/2006/relationships/hyperlink" Target="https://www.circlehealthgroup.co.uk/hospitals/albyn-hospital/private-dermatology-aberdeen" TargetMode="External"/><Relationship Id="rId244" Type="http://schemas.openxmlformats.org/officeDocument/2006/relationships/hyperlink" Target="http://www.specialistskinclinic.uk/" TargetMode="External"/><Relationship Id="rId18" Type="http://schemas.openxmlformats.org/officeDocument/2006/relationships/hyperlink" Target="https://chelwestprivatecare.co.uk/services/dermatology/" TargetMode="External"/><Relationship Id="rId39" Type="http://schemas.openxmlformats.org/officeDocument/2006/relationships/hyperlink" Target="https://www.circlehealthgroup.co.uk/consultants?distance=15&amp;hospital=Hendon%20Hospital&amp;hospitalId=919db64f-f7db-41b5-a748-d4093f475335&amp;treatment=Dermatology&amp;treatmentId=498c24bd-cd97-48d8-8324-643bb8b8296c&amp;sort=score|Descending&amp;page=1&amp;perPage=18" TargetMode="External"/><Relationship Id="rId265" Type="http://schemas.openxmlformats.org/officeDocument/2006/relationships/hyperlink" Target="https://skininspection.co.uk/general-dermatology/" TargetMode="External"/><Relationship Id="rId286" Type="http://schemas.openxmlformats.org/officeDocument/2006/relationships/hyperlink" Target="https://www.circlehealthgroup.co.uk/hospitals/the-lincoln-hospital/dermatology" TargetMode="External"/><Relationship Id="rId50" Type="http://schemas.openxmlformats.org/officeDocument/2006/relationships/hyperlink" Target="https://www.circlehealthgroup.co.uk/hospitals/mount-alvernia-hospital/dermatology" TargetMode="External"/><Relationship Id="rId104" Type="http://schemas.openxmlformats.org/officeDocument/2006/relationships/hyperlink" Target="https://www.ramsayhealth.co.uk/hospitals/springfield-hospital/specialists?freeText=dermatology&amp;term=" TargetMode="External"/><Relationship Id="rId125" Type="http://schemas.openxmlformats.org/officeDocument/2006/relationships/hyperlink" Target="https://www.theholly.com/services/general-medicine/dermatology/" TargetMode="External"/><Relationship Id="rId146" Type="http://schemas.openxmlformats.org/officeDocument/2006/relationships/hyperlink" Target="https://www.hcahealthcare.co.uk/facilities/the-wellington-hospital/our-centres/the-wellington-hospital-elstree-waterfront" TargetMode="External"/><Relationship Id="rId167" Type="http://schemas.openxmlformats.org/officeDocument/2006/relationships/hyperlink" Target="https://www.sknclinics.co.uk/clinics/the-south/bournemouth-christchurch-road" TargetMode="External"/><Relationship Id="rId188" Type="http://schemas.openxmlformats.org/officeDocument/2006/relationships/hyperlink" Target="https://www.sknclinics.co.uk/clinics/london/london-holborn" TargetMode="External"/><Relationship Id="rId71" Type="http://schemas.openxmlformats.org/officeDocument/2006/relationships/hyperlink" Target="https://www.spirehealthcare.com/spire-bushey-diagnostic-centre/home/" TargetMode="External"/><Relationship Id="rId92" Type="http://schemas.openxmlformats.org/officeDocument/2006/relationships/hyperlink" Target="https://www.spirehealthcare.com/spire-nottingham-hospital/treatments/skin-treatments/" TargetMode="External"/><Relationship Id="rId213" Type="http://schemas.openxmlformats.org/officeDocument/2006/relationships/hyperlink" Target="https://skinsurgeryclinic.co.uk/" TargetMode="External"/><Relationship Id="rId234" Type="http://schemas.openxmlformats.org/officeDocument/2006/relationships/hyperlink" Target="https://clearskin.uk.com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linicaltrials.gov/show/NCT04295824" TargetMode="External"/><Relationship Id="rId117" Type="http://schemas.openxmlformats.org/officeDocument/2006/relationships/hyperlink" Target="https://pubmed.ncbi.nlm.nih.gov/31081565" TargetMode="External"/><Relationship Id="rId21" Type="http://schemas.openxmlformats.org/officeDocument/2006/relationships/hyperlink" Target="https://clinicaltrials.gov/show/NCT04033367" TargetMode="External"/><Relationship Id="rId42" Type="http://schemas.openxmlformats.org/officeDocument/2006/relationships/hyperlink" Target="https://clinicaltrials.gov/show/NCT05790330" TargetMode="External"/><Relationship Id="rId47" Type="http://schemas.openxmlformats.org/officeDocument/2006/relationships/hyperlink" Target="https://pubmed.ncbi.nlm.nih.gov/30550828" TargetMode="External"/><Relationship Id="rId63" Type="http://schemas.openxmlformats.org/officeDocument/2006/relationships/hyperlink" Target="https://pubmed.ncbi.nlm.nih.gov/33000465" TargetMode="External"/><Relationship Id="rId68" Type="http://schemas.openxmlformats.org/officeDocument/2006/relationships/hyperlink" Target="https://pubmed.ncbi.nlm.nih.gov/33891981" TargetMode="External"/><Relationship Id="rId84" Type="http://schemas.openxmlformats.org/officeDocument/2006/relationships/hyperlink" Target="https://pubmed.ncbi.nlm.nih.gov/36082590" TargetMode="External"/><Relationship Id="rId89" Type="http://schemas.openxmlformats.org/officeDocument/2006/relationships/hyperlink" Target="https://pubmed.ncbi.nlm.nih.gov/36509097" TargetMode="External"/><Relationship Id="rId112" Type="http://schemas.openxmlformats.org/officeDocument/2006/relationships/hyperlink" Target="https://clinicaltrials.gov/study/NCT03952559" TargetMode="External"/><Relationship Id="rId133" Type="http://schemas.openxmlformats.org/officeDocument/2006/relationships/hyperlink" Target="https://www.businesswire.com/news/home/20231011683203/en/Temtokibart-achieves-First-Subject-First-Treatment-FSFT-milestone-in-Phase-2b-trial" TargetMode="External"/><Relationship Id="rId16" Type="http://schemas.openxmlformats.org/officeDocument/2006/relationships/hyperlink" Target="https://clinicaltrials.gov/show/NCT03871998" TargetMode="External"/><Relationship Id="rId107" Type="http://schemas.openxmlformats.org/officeDocument/2006/relationships/hyperlink" Target="https://pubmed.ncbi.nlm.nih.gov/37574761" TargetMode="External"/><Relationship Id="rId11" Type="http://schemas.openxmlformats.org/officeDocument/2006/relationships/hyperlink" Target="https://clinicaltrials.gov/show/NCT03738397" TargetMode="External"/><Relationship Id="rId32" Type="http://schemas.openxmlformats.org/officeDocument/2006/relationships/hyperlink" Target="https://clinicaltrials.gov/show/NCT05149313" TargetMode="External"/><Relationship Id="rId37" Type="http://schemas.openxmlformats.org/officeDocument/2006/relationships/hyperlink" Target="https://clinicaltrials.gov/study/NCT05633355" TargetMode="External"/><Relationship Id="rId53" Type="http://schemas.openxmlformats.org/officeDocument/2006/relationships/hyperlink" Target="https://pubmed.ncbi.nlm.nih.gov/31583813" TargetMode="External"/><Relationship Id="rId58" Type="http://schemas.openxmlformats.org/officeDocument/2006/relationships/hyperlink" Target="https://pubmed.ncbi.nlm.nih.gov/32087126" TargetMode="External"/><Relationship Id="rId74" Type="http://schemas.openxmlformats.org/officeDocument/2006/relationships/hyperlink" Target="https://pubmed.ncbi.nlm.nih.gov/34462864" TargetMode="External"/><Relationship Id="rId79" Type="http://schemas.openxmlformats.org/officeDocument/2006/relationships/hyperlink" Target="https://pubmed.ncbi.nlm.nih.gov/34921679" TargetMode="External"/><Relationship Id="rId102" Type="http://schemas.openxmlformats.org/officeDocument/2006/relationships/hyperlink" Target="https://pubmed.ncbi.nlm.nih.gov/37184828" TargetMode="External"/><Relationship Id="rId123" Type="http://schemas.openxmlformats.org/officeDocument/2006/relationships/hyperlink" Target="https://pubmed.ncbi.nlm.nih.gov/35617974" TargetMode="External"/><Relationship Id="rId128" Type="http://schemas.openxmlformats.org/officeDocument/2006/relationships/hyperlink" Target="https://pubmed.ncbi.nlm.nih.gov/37300760" TargetMode="External"/><Relationship Id="rId5" Type="http://schemas.openxmlformats.org/officeDocument/2006/relationships/hyperlink" Target="https://www.clinicaltrialsregister.eu/ctr-search/trial/2019-002643-23/GB" TargetMode="External"/><Relationship Id="rId90" Type="http://schemas.openxmlformats.org/officeDocument/2006/relationships/hyperlink" Target="https://pubmed.ncbi.nlm.nih.gov/36512175" TargetMode="External"/><Relationship Id="rId95" Type="http://schemas.openxmlformats.org/officeDocument/2006/relationships/hyperlink" Target="https://pubmed.ncbi.nlm.nih.gov/36912484" TargetMode="External"/><Relationship Id="rId14" Type="http://schemas.openxmlformats.org/officeDocument/2006/relationships/hyperlink" Target="https://clinicaltrials.gov/show/NCT03809663" TargetMode="External"/><Relationship Id="rId22" Type="http://schemas.openxmlformats.org/officeDocument/2006/relationships/hyperlink" Target="https://clinicaltrials.gov/show/NCT04194814" TargetMode="External"/><Relationship Id="rId27" Type="http://schemas.openxmlformats.org/officeDocument/2006/relationships/hyperlink" Target="https://clinicaltrials.gov/show/NCT04643457" TargetMode="External"/><Relationship Id="rId30" Type="http://schemas.openxmlformats.org/officeDocument/2006/relationships/hyperlink" Target="https://clinicaltrials.gov/show/NCT04927195" TargetMode="External"/><Relationship Id="rId35" Type="http://schemas.openxmlformats.org/officeDocument/2006/relationships/hyperlink" Target="https://clinicaltrials.gov/show/NCT05492578" TargetMode="External"/><Relationship Id="rId43" Type="http://schemas.openxmlformats.org/officeDocument/2006/relationships/hyperlink" Target="https://clinicaltrials.gov/study/NCT05923099" TargetMode="External"/><Relationship Id="rId48" Type="http://schemas.openxmlformats.org/officeDocument/2006/relationships/hyperlink" Target="https://pubmed.ncbi.nlm.nih.gov/31160034" TargetMode="External"/><Relationship Id="rId56" Type="http://schemas.openxmlformats.org/officeDocument/2006/relationships/hyperlink" Target="https://pubmed.ncbi.nlm.nih.gov/31876900" TargetMode="External"/><Relationship Id="rId64" Type="http://schemas.openxmlformats.org/officeDocument/2006/relationships/hyperlink" Target="https://pubmed.ncbi.nlm.nih.gov/33000503" TargetMode="External"/><Relationship Id="rId69" Type="http://schemas.openxmlformats.org/officeDocument/2006/relationships/hyperlink" Target="https://pubmed.ncbi.nlm.nih.gov/33954933" TargetMode="External"/><Relationship Id="rId77" Type="http://schemas.openxmlformats.org/officeDocument/2006/relationships/hyperlink" Target="https://pubmed.ncbi.nlm.nih.gov/34854157" TargetMode="External"/><Relationship Id="rId100" Type="http://schemas.openxmlformats.org/officeDocument/2006/relationships/hyperlink" Target="https://pubmed.ncbi.nlm.nih.gov/37074705" TargetMode="External"/><Relationship Id="rId105" Type="http://schemas.openxmlformats.org/officeDocument/2006/relationships/hyperlink" Target="https://pubmed.ncbi.nlm.nih.gov/37463508" TargetMode="External"/><Relationship Id="rId113" Type="http://schemas.openxmlformats.org/officeDocument/2006/relationships/hyperlink" Target="https://clinicaltrials.gov/study/NCT04718870" TargetMode="External"/><Relationship Id="rId118" Type="http://schemas.openxmlformats.org/officeDocument/2006/relationships/hyperlink" Target="https://pubmed.ncbi.nlm.nih.gov/31764962" TargetMode="External"/><Relationship Id="rId126" Type="http://schemas.openxmlformats.org/officeDocument/2006/relationships/hyperlink" Target="https://pubmed.ncbi.nlm.nih.gov/36529811" TargetMode="External"/><Relationship Id="rId134" Type="http://schemas.openxmlformats.org/officeDocument/2006/relationships/printerSettings" Target="../printerSettings/printerSettings2.bin"/><Relationship Id="rId8" Type="http://schemas.openxmlformats.org/officeDocument/2006/relationships/hyperlink" Target="https://www.clinicaltrialsregister.eu/ctr-search/trial/2020-003143-28/GB" TargetMode="External"/><Relationship Id="rId51" Type="http://schemas.openxmlformats.org/officeDocument/2006/relationships/hyperlink" Target="https://pubmed.ncbi.nlm.nih.gov/31441980" TargetMode="External"/><Relationship Id="rId72" Type="http://schemas.openxmlformats.org/officeDocument/2006/relationships/hyperlink" Target="https://pubmed.ncbi.nlm.nih.gov/34406619" TargetMode="External"/><Relationship Id="rId80" Type="http://schemas.openxmlformats.org/officeDocument/2006/relationships/hyperlink" Target="https://pubmed.ncbi.nlm.nih.gov/35567671" TargetMode="External"/><Relationship Id="rId85" Type="http://schemas.openxmlformats.org/officeDocument/2006/relationships/hyperlink" Target="https://pubmed.ncbi.nlm.nih.gov/36108923" TargetMode="External"/><Relationship Id="rId93" Type="http://schemas.openxmlformats.org/officeDocument/2006/relationships/hyperlink" Target="https://pubmed.ncbi.nlm.nih.gov/36848918" TargetMode="External"/><Relationship Id="rId98" Type="http://schemas.openxmlformats.org/officeDocument/2006/relationships/hyperlink" Target="https://pubmed.ncbi.nlm.nih.gov/37036183" TargetMode="External"/><Relationship Id="rId121" Type="http://schemas.openxmlformats.org/officeDocument/2006/relationships/hyperlink" Target="https://pubmed.ncbi.nlm.nih.gov/32969489" TargetMode="External"/><Relationship Id="rId3" Type="http://schemas.openxmlformats.org/officeDocument/2006/relationships/hyperlink" Target="https://www.clinicaltrialsregister.eu/ctr-search/trial/2019-001887-31/GB" TargetMode="External"/><Relationship Id="rId12" Type="http://schemas.openxmlformats.org/officeDocument/2006/relationships/hyperlink" Target="https://clinicaltrials.gov/show/NCT03742414" TargetMode="External"/><Relationship Id="rId17" Type="http://schemas.openxmlformats.org/officeDocument/2006/relationships/hyperlink" Target="https://clinicaltrials.gov/show/NCT03901144" TargetMode="External"/><Relationship Id="rId25" Type="http://schemas.openxmlformats.org/officeDocument/2006/relationships/hyperlink" Target="https://clinicaltrials.gov/show/NCT04212169" TargetMode="External"/><Relationship Id="rId33" Type="http://schemas.openxmlformats.org/officeDocument/2006/relationships/hyperlink" Target="https://clinicaltrials.gov/show/NCT05375955" TargetMode="External"/><Relationship Id="rId38" Type="http://schemas.openxmlformats.org/officeDocument/2006/relationships/hyperlink" Target="https://clinicaltrials.gov/study/NCT05651711" TargetMode="External"/><Relationship Id="rId46" Type="http://schemas.openxmlformats.org/officeDocument/2006/relationships/hyperlink" Target="https://pubmed.ncbi.nlm.nih.gov/30414855" TargetMode="External"/><Relationship Id="rId59" Type="http://schemas.openxmlformats.org/officeDocument/2006/relationships/hyperlink" Target="https://pubmed.ncbi.nlm.nih.gov/32430334" TargetMode="External"/><Relationship Id="rId67" Type="http://schemas.openxmlformats.org/officeDocument/2006/relationships/hyperlink" Target="https://pubmed.ncbi.nlm.nih.gov/33761207" TargetMode="External"/><Relationship Id="rId103" Type="http://schemas.openxmlformats.org/officeDocument/2006/relationships/hyperlink" Target="https://pubmed.ncbi.nlm.nih.gov/37213005" TargetMode="External"/><Relationship Id="rId108" Type="http://schemas.openxmlformats.org/officeDocument/2006/relationships/hyperlink" Target="https://pubmed.ncbi.nlm.nih.gov/37800475" TargetMode="External"/><Relationship Id="rId116" Type="http://schemas.openxmlformats.org/officeDocument/2006/relationships/hyperlink" Target="https://pubmed.ncbi.nlm.nih.gov/31076476" TargetMode="External"/><Relationship Id="rId124" Type="http://schemas.openxmlformats.org/officeDocument/2006/relationships/hyperlink" Target="https://pubmed.ncbi.nlm.nih.gov/36038984" TargetMode="External"/><Relationship Id="rId129" Type="http://schemas.openxmlformats.org/officeDocument/2006/relationships/hyperlink" Target="https://pubmed.ncbi.nlm.nih.gov/37722926" TargetMode="External"/><Relationship Id="rId20" Type="http://schemas.openxmlformats.org/officeDocument/2006/relationships/hyperlink" Target="https://clinicaltrials.gov/show/NCT03989206" TargetMode="External"/><Relationship Id="rId41" Type="http://schemas.openxmlformats.org/officeDocument/2006/relationships/hyperlink" Target="https://clinicaltrials.gov/study/NCT05769777" TargetMode="External"/><Relationship Id="rId54" Type="http://schemas.openxmlformats.org/officeDocument/2006/relationships/hyperlink" Target="https://pubmed.ncbi.nlm.nih.gov/31595499" TargetMode="External"/><Relationship Id="rId62" Type="http://schemas.openxmlformats.org/officeDocument/2006/relationships/hyperlink" Target="https://pubmed.ncbi.nlm.nih.gov/32830463" TargetMode="External"/><Relationship Id="rId70" Type="http://schemas.openxmlformats.org/officeDocument/2006/relationships/hyperlink" Target="https://pubmed.ncbi.nlm.nih.gov/34023008" TargetMode="External"/><Relationship Id="rId75" Type="http://schemas.openxmlformats.org/officeDocument/2006/relationships/hyperlink" Target="https://pubmed.ncbi.nlm.nih.gov/34698371" TargetMode="External"/><Relationship Id="rId83" Type="http://schemas.openxmlformats.org/officeDocument/2006/relationships/hyperlink" Target="https://pubmed.ncbi.nlm.nih.gov/35871814" TargetMode="External"/><Relationship Id="rId88" Type="http://schemas.openxmlformats.org/officeDocument/2006/relationships/hyperlink" Target="https://pubmed.ncbi.nlm.nih.gov/36473633" TargetMode="External"/><Relationship Id="rId91" Type="http://schemas.openxmlformats.org/officeDocument/2006/relationships/hyperlink" Target="https://pubmed.ncbi.nlm.nih.gov/36573442" TargetMode="External"/><Relationship Id="rId96" Type="http://schemas.openxmlformats.org/officeDocument/2006/relationships/hyperlink" Target="https://pubmed.ncbi.nlm.nih.gov/36920778" TargetMode="External"/><Relationship Id="rId111" Type="http://schemas.openxmlformats.org/officeDocument/2006/relationships/hyperlink" Target="https://clinicaltrials.gov/study/NCT03795506" TargetMode="External"/><Relationship Id="rId132" Type="http://schemas.openxmlformats.org/officeDocument/2006/relationships/hyperlink" Target="https://pubmed.ncbi.nlm.nih.gov/38348724/" TargetMode="External"/><Relationship Id="rId1" Type="http://schemas.openxmlformats.org/officeDocument/2006/relationships/hyperlink" Target="https://pubmed.ncbi.nlm.nih.gov/32072618" TargetMode="External"/><Relationship Id="rId6" Type="http://schemas.openxmlformats.org/officeDocument/2006/relationships/hyperlink" Target="https://www.clinicaltrialsregister.eu/ctr-search/trial/2019-003304-12/GB" TargetMode="External"/><Relationship Id="rId15" Type="http://schemas.openxmlformats.org/officeDocument/2006/relationships/hyperlink" Target="https://clinicaltrials.gov/show/NCT03823794" TargetMode="External"/><Relationship Id="rId23" Type="http://schemas.openxmlformats.org/officeDocument/2006/relationships/hyperlink" Target="https://clinicaltrials.gov/show/NCT04195698" TargetMode="External"/><Relationship Id="rId28" Type="http://schemas.openxmlformats.org/officeDocument/2006/relationships/hyperlink" Target="https://clinicaltrials.gov/show/NCT04737304" TargetMode="External"/><Relationship Id="rId36" Type="http://schemas.openxmlformats.org/officeDocument/2006/relationships/hyperlink" Target="https://clinicaltrials.gov/study/NCT05507580" TargetMode="External"/><Relationship Id="rId49" Type="http://schemas.openxmlformats.org/officeDocument/2006/relationships/hyperlink" Target="https://pubmed.ncbi.nlm.nih.gov/31179791" TargetMode="External"/><Relationship Id="rId57" Type="http://schemas.openxmlformats.org/officeDocument/2006/relationships/hyperlink" Target="https://pubmed.ncbi.nlm.nih.gov/31999862" TargetMode="External"/><Relationship Id="rId106" Type="http://schemas.openxmlformats.org/officeDocument/2006/relationships/hyperlink" Target="https://pubmed.ncbi.nlm.nih.gov/37562034" TargetMode="External"/><Relationship Id="rId114" Type="http://schemas.openxmlformats.org/officeDocument/2006/relationships/hyperlink" Target="https://clinicaltrials.gov/study/NCT05031754" TargetMode="External"/><Relationship Id="rId119" Type="http://schemas.openxmlformats.org/officeDocument/2006/relationships/hyperlink" Target="https://pubmed.ncbi.nlm.nih.gov/32574587" TargetMode="External"/><Relationship Id="rId127" Type="http://schemas.openxmlformats.org/officeDocument/2006/relationships/hyperlink" Target="https://pubmed.ncbi.nlm.nih.gov/36754548" TargetMode="External"/><Relationship Id="rId10" Type="http://schemas.openxmlformats.org/officeDocument/2006/relationships/hyperlink" Target="https://clinicaltrials.gov/show/NCT03542994" TargetMode="External"/><Relationship Id="rId31" Type="http://schemas.openxmlformats.org/officeDocument/2006/relationships/hyperlink" Target="https://clinicaltrials.gov/show/NCT05131477" TargetMode="External"/><Relationship Id="rId44" Type="http://schemas.openxmlformats.org/officeDocument/2006/relationships/hyperlink" Target="https://clinicaltrials.gov/study/NCT06119529" TargetMode="External"/><Relationship Id="rId52" Type="http://schemas.openxmlformats.org/officeDocument/2006/relationships/hyperlink" Target="https://pubmed.ncbi.nlm.nih.gov/31543428" TargetMode="External"/><Relationship Id="rId60" Type="http://schemas.openxmlformats.org/officeDocument/2006/relationships/hyperlink" Target="https://pubmed.ncbi.nlm.nih.gov/32492087" TargetMode="External"/><Relationship Id="rId65" Type="http://schemas.openxmlformats.org/officeDocument/2006/relationships/hyperlink" Target="https://pubmed.ncbi.nlm.nih.gov/33333295" TargetMode="External"/><Relationship Id="rId73" Type="http://schemas.openxmlformats.org/officeDocument/2006/relationships/hyperlink" Target="https://pubmed.ncbi.nlm.nih.gov/34416294" TargetMode="External"/><Relationship Id="rId78" Type="http://schemas.openxmlformats.org/officeDocument/2006/relationships/hyperlink" Target="https://pubmed.ncbi.nlm.nih.gov/34877731" TargetMode="External"/><Relationship Id="rId81" Type="http://schemas.openxmlformats.org/officeDocument/2006/relationships/hyperlink" Target="https://pubmed.ncbi.nlm.nih.gov/35763390" TargetMode="External"/><Relationship Id="rId86" Type="http://schemas.openxmlformats.org/officeDocument/2006/relationships/hyperlink" Target="https://pubmed.ncbi.nlm.nih.gov/36263451" TargetMode="External"/><Relationship Id="rId94" Type="http://schemas.openxmlformats.org/officeDocument/2006/relationships/hyperlink" Target="https://pubmed.ncbi.nlm.nih.gov/36848919" TargetMode="External"/><Relationship Id="rId99" Type="http://schemas.openxmlformats.org/officeDocument/2006/relationships/hyperlink" Target="https://pubmed.ncbi.nlm.nih.gov/37043227" TargetMode="External"/><Relationship Id="rId101" Type="http://schemas.openxmlformats.org/officeDocument/2006/relationships/hyperlink" Target="https://pubmed.ncbi.nlm.nih.gov/37178404" TargetMode="External"/><Relationship Id="rId122" Type="http://schemas.openxmlformats.org/officeDocument/2006/relationships/hyperlink" Target="https://pubmed.ncbi.nlm.nih.gov/32981097" TargetMode="External"/><Relationship Id="rId130" Type="http://schemas.openxmlformats.org/officeDocument/2006/relationships/hyperlink" Target="https://pubmed.ncbi.nlm.nih.gov/37924282" TargetMode="External"/><Relationship Id="rId4" Type="http://schemas.openxmlformats.org/officeDocument/2006/relationships/hyperlink" Target="https://www.clinicaltrialsregister.eu/ctr-search/trial/2019-001889-15/FR" TargetMode="External"/><Relationship Id="rId9" Type="http://schemas.openxmlformats.org/officeDocument/2006/relationships/hyperlink" Target="https://www.clinicaltrialsregister.eu/ctr-search/trial/2020-003639-41/GB" TargetMode="External"/><Relationship Id="rId13" Type="http://schemas.openxmlformats.org/officeDocument/2006/relationships/hyperlink" Target="https://clinicaltrials.gov/show/NCT03796676" TargetMode="External"/><Relationship Id="rId18" Type="http://schemas.openxmlformats.org/officeDocument/2006/relationships/hyperlink" Target="https://clinicaltrials.gov/show/NCT03948334" TargetMode="External"/><Relationship Id="rId39" Type="http://schemas.openxmlformats.org/officeDocument/2006/relationships/hyperlink" Target="https://clinicaltrials.gov/show/NCT05656911" TargetMode="External"/><Relationship Id="rId109" Type="http://schemas.openxmlformats.org/officeDocument/2006/relationships/hyperlink" Target="https://pubmed.ncbi.nlm.nih.gov/37804473" TargetMode="External"/><Relationship Id="rId34" Type="http://schemas.openxmlformats.org/officeDocument/2006/relationships/hyperlink" Target="https://clinicaltrials.gov/study/NCT05454722" TargetMode="External"/><Relationship Id="rId50" Type="http://schemas.openxmlformats.org/officeDocument/2006/relationships/hyperlink" Target="https://pubmed.ncbi.nlm.nih.gov/31419544" TargetMode="External"/><Relationship Id="rId55" Type="http://schemas.openxmlformats.org/officeDocument/2006/relationships/hyperlink" Target="https://pubmed.ncbi.nlm.nih.gov/31645451" TargetMode="External"/><Relationship Id="rId76" Type="http://schemas.openxmlformats.org/officeDocument/2006/relationships/hyperlink" Target="https://pubmed.ncbi.nlm.nih.gov/34779063" TargetMode="External"/><Relationship Id="rId97" Type="http://schemas.openxmlformats.org/officeDocument/2006/relationships/hyperlink" Target="https://pubmed.ncbi.nlm.nih.gov/36963619" TargetMode="External"/><Relationship Id="rId104" Type="http://schemas.openxmlformats.org/officeDocument/2006/relationships/hyperlink" Target="https://pubmed.ncbi.nlm.nih.gov/37319109" TargetMode="External"/><Relationship Id="rId120" Type="http://schemas.openxmlformats.org/officeDocument/2006/relationships/hyperlink" Target="https://pubmed.ncbi.nlm.nih.gov/32893393" TargetMode="External"/><Relationship Id="rId125" Type="http://schemas.openxmlformats.org/officeDocument/2006/relationships/hyperlink" Target="https://pubmed.ncbi.nlm.nih.gov/36116481" TargetMode="External"/><Relationship Id="rId7" Type="http://schemas.openxmlformats.org/officeDocument/2006/relationships/hyperlink" Target="https://www.clinicaltrialsregister.eu/ctr-search/trial/2019-004013-13/GB" TargetMode="External"/><Relationship Id="rId71" Type="http://schemas.openxmlformats.org/officeDocument/2006/relationships/hyperlink" Target="https://pubmed.ncbi.nlm.nih.gov/34305403" TargetMode="External"/><Relationship Id="rId92" Type="http://schemas.openxmlformats.org/officeDocument/2006/relationships/hyperlink" Target="https://pubmed.ncbi.nlm.nih.gov/36802049" TargetMode="External"/><Relationship Id="rId2" Type="http://schemas.openxmlformats.org/officeDocument/2006/relationships/hyperlink" Target="https://www.clinicaltrialsregister.eu/ctr-search/trial/2019-001227-12/IE" TargetMode="External"/><Relationship Id="rId29" Type="http://schemas.openxmlformats.org/officeDocument/2006/relationships/hyperlink" Target="https://clinicaltrials.gov/show/NCT04750161" TargetMode="External"/><Relationship Id="rId24" Type="http://schemas.openxmlformats.org/officeDocument/2006/relationships/hyperlink" Target="https://clinicaltrials.gov/show/NCT04202679" TargetMode="External"/><Relationship Id="rId40" Type="http://schemas.openxmlformats.org/officeDocument/2006/relationships/hyperlink" Target="https://clinicaltrials.gov/study/NCT05724199" TargetMode="External"/><Relationship Id="rId45" Type="http://schemas.openxmlformats.org/officeDocument/2006/relationships/hyperlink" Target="https://pubmed.ncbi.nlm.nih.gov/29906525" TargetMode="External"/><Relationship Id="rId66" Type="http://schemas.openxmlformats.org/officeDocument/2006/relationships/hyperlink" Target="https://pubmed.ncbi.nlm.nih.gov/33551026" TargetMode="External"/><Relationship Id="rId87" Type="http://schemas.openxmlformats.org/officeDocument/2006/relationships/hyperlink" Target="https://pubmed.ncbi.nlm.nih.gov/36303217" TargetMode="External"/><Relationship Id="rId110" Type="http://schemas.openxmlformats.org/officeDocument/2006/relationships/hyperlink" Target="https://pubmed.ncbi.nlm.nih.gov/37988255" TargetMode="External"/><Relationship Id="rId115" Type="http://schemas.openxmlformats.org/officeDocument/2006/relationships/hyperlink" Target="https://clinicaltrials.gov/study/NCT05388760" TargetMode="External"/><Relationship Id="rId131" Type="http://schemas.openxmlformats.org/officeDocument/2006/relationships/hyperlink" Target="https://pubmed.ncbi.nlm.nih.gov/38206678/" TargetMode="External"/><Relationship Id="rId61" Type="http://schemas.openxmlformats.org/officeDocument/2006/relationships/hyperlink" Target="https://pubmed.ncbi.nlm.nih.gov/32711801" TargetMode="External"/><Relationship Id="rId82" Type="http://schemas.openxmlformats.org/officeDocument/2006/relationships/hyperlink" Target="https://pubmed.ncbi.nlm.nih.gov/35857179" TargetMode="External"/><Relationship Id="rId19" Type="http://schemas.openxmlformats.org/officeDocument/2006/relationships/hyperlink" Target="https://clinicaltrials.gov/show/NCT03985943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tsocderm.org/files/ISD_Conn_Fall_2021.pdf" TargetMode="External"/><Relationship Id="rId21" Type="http://schemas.openxmlformats.org/officeDocument/2006/relationships/hyperlink" Target="https://isad.org/events/13th-georg-rajka-symposium-gdansk-2023/programme" TargetMode="External"/><Relationship Id="rId42" Type="http://schemas.openxmlformats.org/officeDocument/2006/relationships/hyperlink" Target="https://eadv.org/congress/" TargetMode="External"/><Relationship Id="rId47" Type="http://schemas.openxmlformats.org/officeDocument/2006/relationships/hyperlink" Target="https://eadvsymposium2022.org/wp-content/uploads/2022/05/Scientific_Programme_Ljubljana.pdf" TargetMode="External"/><Relationship Id="rId63" Type="http://schemas.openxmlformats.org/officeDocument/2006/relationships/hyperlink" Target="https://conferencealerts.com/show-event?id=241680" TargetMode="External"/><Relationship Id="rId68" Type="http://schemas.openxmlformats.org/officeDocument/2006/relationships/hyperlink" Target="https://www.irishdermatologists.ie/events/detail/autumn-meeting" TargetMode="External"/><Relationship Id="rId84" Type="http://schemas.openxmlformats.org/officeDocument/2006/relationships/hyperlink" Target="https://badannualmeeting.co.uk/wp-content/PDF-Flip/BAD-Final-Programme-2023.html" TargetMode="External"/><Relationship Id="rId89" Type="http://schemas.openxmlformats.org/officeDocument/2006/relationships/hyperlink" Target="https://bdng.org.uk/annual-conference/" TargetMode="External"/><Relationship Id="rId112" Type="http://schemas.openxmlformats.org/officeDocument/2006/relationships/hyperlink" Target="https://bspad.co.uk/app/uploads/2023/01/BSPD-Programme-2019.pdf" TargetMode="External"/><Relationship Id="rId16" Type="http://schemas.openxmlformats.org/officeDocument/2006/relationships/hyperlink" Target="https://globalskin.org/component/content/article/84-gs-2019-content/globalskin-2019-conference/313-about?Itemid=1" TargetMode="External"/><Relationship Id="rId107" Type="http://schemas.openxmlformats.org/officeDocument/2006/relationships/hyperlink" Target="https://www.espd.info/espd2021/programme2021" TargetMode="External"/><Relationship Id="rId11" Type="http://schemas.openxmlformats.org/officeDocument/2006/relationships/hyperlink" Target="https://revolutionizingad.com/revolutionizing-atopic-dermatitis" TargetMode="External"/><Relationship Id="rId24" Type="http://schemas.openxmlformats.org/officeDocument/2006/relationships/hyperlink" Target="https://isad.org/events/isad-2020/programme" TargetMode="External"/><Relationship Id="rId32" Type="http://schemas.openxmlformats.org/officeDocument/2006/relationships/hyperlink" Target="https://kindcongress.com/event/3rd-international-conference-on-dermatology-research-dermatology-2023/" TargetMode="External"/><Relationship Id="rId37" Type="http://schemas.openxmlformats.org/officeDocument/2006/relationships/hyperlink" Target="https://www.linkedin.com/pulse/23rd-european-dermatology-congress-july-27-28-2023-paris-wilson" TargetMode="External"/><Relationship Id="rId40" Type="http://schemas.openxmlformats.org/officeDocument/2006/relationships/hyperlink" Target="https://d2cax41o7ahm5l.cloudfront.net/cs/pdfs/euro-dermatology-2020-51438-tentative-program53438.pdf" TargetMode="External"/><Relationship Id="rId45" Type="http://schemas.openxmlformats.org/officeDocument/2006/relationships/hyperlink" Target="https://eadvapps.m-anage.com/eadvsymposium2023/en-GB/pag" TargetMode="External"/><Relationship Id="rId53" Type="http://schemas.openxmlformats.org/officeDocument/2006/relationships/hyperlink" Target="https://www.edf-meeting.com/uploads/attachments/clfw5aqrj01mcv2jrxxaisccr-programm-edf2023-compressed.pdf" TargetMode="External"/><Relationship Id="rId58" Type="http://schemas.openxmlformats.org/officeDocument/2006/relationships/hyperlink" Target="https://esdrmeeting.org/wp-content/uploads/2022/09/ESDR-ProgramBook.pdf" TargetMode="External"/><Relationship Id="rId66" Type="http://schemas.openxmlformats.org/officeDocument/2006/relationships/hyperlink" Target="https://www.irishdermatologists.ie/events/detail/autumn-2023" TargetMode="External"/><Relationship Id="rId74" Type="http://schemas.openxmlformats.org/officeDocument/2006/relationships/hyperlink" Target="https://www.icgp.ie/go/search/6231FBF5-3754-4F5B-88E042BFDA087A44" TargetMode="External"/><Relationship Id="rId79" Type="http://schemas.openxmlformats.org/officeDocument/2006/relationships/hyperlink" Target="https://www.pcds.org.uk/files/events/Scottish-Meeting-final-proof.pdf" TargetMode="External"/><Relationship Id="rId87" Type="http://schemas.openxmlformats.org/officeDocument/2006/relationships/hyperlink" Target="https://badannualmeeting.co.uk/wp-content/uploads/2021/05/BAD-Final-Programme-2020-20.5.21.pdf" TargetMode="External"/><Relationship Id="rId102" Type="http://schemas.openxmlformats.org/officeDocument/2006/relationships/hyperlink" Target="https://www.eventsforce.net/bad/frontend/reg/tAgendaWebsite.csp?pageID=86200&amp;ef_sel_menu=1272&amp;eventID=282&amp;mode=" TargetMode="External"/><Relationship Id="rId110" Type="http://schemas.openxmlformats.org/officeDocument/2006/relationships/hyperlink" Target="https://academic.oup.com/bjd/issue/190/Supplement_1?login=false" TargetMode="External"/><Relationship Id="rId115" Type="http://schemas.openxmlformats.org/officeDocument/2006/relationships/printerSettings" Target="../printerSettings/printerSettings3.bin"/><Relationship Id="rId5" Type="http://schemas.openxmlformats.org/officeDocument/2006/relationships/hyperlink" Target="https://2021.dnanurse.org/about/" TargetMode="External"/><Relationship Id="rId61" Type="http://schemas.openxmlformats.org/officeDocument/2006/relationships/hyperlink" Target="https://dermatology-drugdevelopment-europe.com/day-one/" TargetMode="External"/><Relationship Id="rId82" Type="http://schemas.openxmlformats.org/officeDocument/2006/relationships/hyperlink" Target="https://www.medicsevents.co.uk/events/pcds-scottish-meeting-golden-jubilee-conference-centre-glasgow/" TargetMode="External"/><Relationship Id="rId90" Type="http://schemas.openxmlformats.org/officeDocument/2006/relationships/hyperlink" Target="https://bdng.org.uk/annual-conference/" TargetMode="External"/><Relationship Id="rId95" Type="http://schemas.openxmlformats.org/officeDocument/2006/relationships/hyperlink" Target="https://cutaneousallergy.org/meetings-courses/page/2/" TargetMode="External"/><Relationship Id="rId19" Type="http://schemas.openxmlformats.org/officeDocument/2006/relationships/hyperlink" Target="https://isid2023.org/wp-content/uploads/2023/05/ISID_2023_Program-Book_Final_6-web_low.pdf" TargetMode="External"/><Relationship Id="rId14" Type="http://schemas.openxmlformats.org/officeDocument/2006/relationships/hyperlink" Target="https://globalskin.org/conference/conference-23" TargetMode="External"/><Relationship Id="rId22" Type="http://schemas.openxmlformats.org/officeDocument/2006/relationships/hyperlink" Target="https://isad.org/events/12th-georg-rajka-symposium-isad-montreal-2022/programme" TargetMode="External"/><Relationship Id="rId27" Type="http://schemas.openxmlformats.org/officeDocument/2006/relationships/hyperlink" Target="https://www.wcd2019milan-dl.org/news-from-wcd2019/wcd-final-programme-WEB.pdf" TargetMode="External"/><Relationship Id="rId30" Type="http://schemas.openxmlformats.org/officeDocument/2006/relationships/hyperlink" Target="https://live.eventtia.com/en/4th-international-meeting-of-eczema-foundation/Program" TargetMode="External"/><Relationship Id="rId35" Type="http://schemas.openxmlformats.org/officeDocument/2006/relationships/hyperlink" Target="https://www.spindermatology.org/events/spin-2019" TargetMode="External"/><Relationship Id="rId43" Type="http://schemas.openxmlformats.org/officeDocument/2006/relationships/hyperlink" Target="https://eadv.org/symposium/the-symposium/" TargetMode="External"/><Relationship Id="rId48" Type="http://schemas.openxmlformats.org/officeDocument/2006/relationships/hyperlink" Target="https://www.eadvcongress2021.org/index.php/home/scientific/scientific-programme/" TargetMode="External"/><Relationship Id="rId56" Type="http://schemas.openxmlformats.org/officeDocument/2006/relationships/hyperlink" Target="https://www.edf-meeting.com/uploads/attachments/cl2g8b20z001qf291z852ucuc-gzd-147493-ctlu-22-dermtogy.pdf" TargetMode="External"/><Relationship Id="rId64" Type="http://schemas.openxmlformats.org/officeDocument/2006/relationships/hyperlink" Target="https://www.agah.eu/event/following-a-successful-launch-in-europe-in-2019-the%E2%80%AF2nd%E2%80%AFdermatology-drug-development-europe-summit-returns-to-2021-in-a-fully-digital-format-as-we-werent-able-to-meet/" TargetMode="External"/><Relationship Id="rId69" Type="http://schemas.openxmlformats.org/officeDocument/2006/relationships/hyperlink" Target="https://www.irishdermatologists.ie/events/detail/spring-meeting-2021" TargetMode="External"/><Relationship Id="rId77" Type="http://schemas.openxmlformats.org/officeDocument/2006/relationships/hyperlink" Target="https://www.medicalindependent.ie/societies/pcdsi/pcdsi-annual-scientific-conference-2019/" TargetMode="External"/><Relationship Id="rId100" Type="http://schemas.openxmlformats.org/officeDocument/2006/relationships/hyperlink" Target="https://cdn.eventsforce.net/files/ef-uip26iq56uzw/website/273/bsid_2019_annual_meeting_programme_final_v3.pdf" TargetMode="External"/><Relationship Id="rId105" Type="http://schemas.openxmlformats.org/officeDocument/2006/relationships/hyperlink" Target="https://www.espd.info/espd2023/programme" TargetMode="External"/><Relationship Id="rId113" Type="http://schemas.openxmlformats.org/officeDocument/2006/relationships/hyperlink" Target="https://www.irishdermatologists.ie/events/detail/spring-meeting-2024" TargetMode="External"/><Relationship Id="rId8" Type="http://schemas.openxmlformats.org/officeDocument/2006/relationships/hyperlink" Target="https://revolutionizingad.com/virtual-symposium-agenda" TargetMode="External"/><Relationship Id="rId51" Type="http://schemas.openxmlformats.org/officeDocument/2006/relationships/hyperlink" Target="https://docplayer.net/157104930-Final-programme-the-modern-face-of-dermatology-madrid-spain-october-2019-ifema-feria-de-madrid-european-academy-of-dermatology-and-venereology.html" TargetMode="External"/><Relationship Id="rId72" Type="http://schemas.openxmlformats.org/officeDocument/2006/relationships/hyperlink" Target="https://www.irishdermatologists.ie/events/detail/autumn-2019" TargetMode="External"/><Relationship Id="rId80" Type="http://schemas.openxmlformats.org/officeDocument/2006/relationships/hyperlink" Target="https://www.emedevents.com/c/medical-conferences-2021/scottish-meeting-2021" TargetMode="External"/><Relationship Id="rId85" Type="http://schemas.openxmlformats.org/officeDocument/2006/relationships/hyperlink" Target="https://badannualmeeting.co.uk/wp-content/PDF-Flip/BAD-Final-Programme-2022.html" TargetMode="External"/><Relationship Id="rId93" Type="http://schemas.openxmlformats.org/officeDocument/2006/relationships/hyperlink" Target="https://bdng-conference.co.uk/" TargetMode="External"/><Relationship Id="rId98" Type="http://schemas.openxmlformats.org/officeDocument/2006/relationships/hyperlink" Target="https://10times.com/british-society-for-investigative-dermatology-annual-meeting" TargetMode="External"/><Relationship Id="rId3" Type="http://schemas.openxmlformats.org/officeDocument/2006/relationships/hyperlink" Target="https://2023.dnanurse.org/about/" TargetMode="External"/><Relationship Id="rId12" Type="http://schemas.openxmlformats.org/officeDocument/2006/relationships/hyperlink" Target="https://www.isds2023.org/program/" TargetMode="External"/><Relationship Id="rId17" Type="http://schemas.openxmlformats.org/officeDocument/2006/relationships/hyperlink" Target="https://intoskin.nl/95-2/" TargetMode="External"/><Relationship Id="rId25" Type="http://schemas.openxmlformats.org/officeDocument/2006/relationships/hyperlink" Target="https://www.icd2025rome.org/" TargetMode="External"/><Relationship Id="rId33" Type="http://schemas.openxmlformats.org/officeDocument/2006/relationships/hyperlink" Target="https://dermatology.cmesociety.com/2022/organizing-committee" TargetMode="External"/><Relationship Id="rId38" Type="http://schemas.openxmlformats.org/officeDocument/2006/relationships/hyperlink" Target="https://d2cax41o7ahm5l.cloudfront.net/cs/pdfs/euro-dermatology-2022-tentative-program2022-06-09-06:38:11-112.pdf" TargetMode="External"/><Relationship Id="rId46" Type="http://schemas.openxmlformats.org/officeDocument/2006/relationships/hyperlink" Target="https://eadvcongress2022.org/wp-content/uploads/2022/09/FINAL-PROGRAMME_31ST_CONGRESS_05092022_B_.pdf" TargetMode="External"/><Relationship Id="rId59" Type="http://schemas.openxmlformats.org/officeDocument/2006/relationships/hyperlink" Target="https://esdrmeeting.org/wp-content/uploads/2021/09/esdr2021-programme-book-a4-FinalVersion.pdf" TargetMode="External"/><Relationship Id="rId67" Type="http://schemas.openxmlformats.org/officeDocument/2006/relationships/hyperlink" Target="https://www.irishdermatologists.ie/events/detail/iad-spring-meeting-5th-7th-may-2022" TargetMode="External"/><Relationship Id="rId103" Type="http://schemas.openxmlformats.org/officeDocument/2006/relationships/hyperlink" Target="https://wcpd2021.com/wp-content/uploads/2021/09/WCPD2021-FINAL-PROGRAMMEv3.pdf" TargetMode="External"/><Relationship Id="rId108" Type="http://schemas.openxmlformats.org/officeDocument/2006/relationships/hyperlink" Target="https://www.espd.info/events/past-meetings/espd2019/programme" TargetMode="External"/><Relationship Id="rId20" Type="http://schemas.openxmlformats.org/officeDocument/2006/relationships/hyperlink" Target="https://isad.org/events/14th-georg-rajka-symposium-isad-2024-doha?date=202402061229" TargetMode="External"/><Relationship Id="rId41" Type="http://schemas.openxmlformats.org/officeDocument/2006/relationships/hyperlink" Target="https://d2cax41o7ahm5l.cloudfront.net/cs/pdfs/euro-dermatology-2019-52302-tentative-program32253.pdf" TargetMode="External"/><Relationship Id="rId54" Type="http://schemas.openxmlformats.org/officeDocument/2006/relationships/hyperlink" Target="https://www.edf-meeting.com/uploads/attachments/cl2g7fjxg0034dc91n9muqkls-program-flyer-25-edf-annual-meeting-2022-1.pdf" TargetMode="External"/><Relationship Id="rId62" Type="http://schemas.openxmlformats.org/officeDocument/2006/relationships/hyperlink" Target="https://uniontherapeutics.com/union-therapeutics-to-present-at-4th-annual-dermatology-drug-development-summit-europe/" TargetMode="External"/><Relationship Id="rId70" Type="http://schemas.openxmlformats.org/officeDocument/2006/relationships/hyperlink" Target="https://www.irishdermatologists.ie/events/detail/spring-2020" TargetMode="External"/><Relationship Id="rId75" Type="http://schemas.openxmlformats.org/officeDocument/2006/relationships/hyperlink" Target="https://www.icgp.ie/go/search/EE8F78A4-E1E8-438C-863C7E507E586FF5" TargetMode="External"/><Relationship Id="rId83" Type="http://schemas.openxmlformats.org/officeDocument/2006/relationships/hyperlink" Target="https://badannualmeeting.co.uk/meeting-information/" TargetMode="External"/><Relationship Id="rId88" Type="http://schemas.openxmlformats.org/officeDocument/2006/relationships/hyperlink" Target="https://badannualmeeting.co.uk/wp-content/uploads/2019/06/BAD-Final-Programme-2019-for-website-updated.pdf" TargetMode="External"/><Relationship Id="rId91" Type="http://schemas.openxmlformats.org/officeDocument/2006/relationships/hyperlink" Target="https://www.emedevents.com/c/medical-conferences-2022/british-dermatological-nursing-group-bdng-31th-annual-conference" TargetMode="External"/><Relationship Id="rId96" Type="http://schemas.openxmlformats.org/officeDocument/2006/relationships/hyperlink" Target="https://www.bsid.org.uk/annual-meeting/" TargetMode="External"/><Relationship Id="rId111" Type="http://schemas.openxmlformats.org/officeDocument/2006/relationships/hyperlink" Target="https://bspad.co.uk/british-society-for-paediatric-and-adolescent-dermatology-annual-meeting-2022/" TargetMode="External"/><Relationship Id="rId1" Type="http://schemas.openxmlformats.org/officeDocument/2006/relationships/hyperlink" Target="https://www.wcd2023singapore.org/wp-content/uploads/2023/06/Congress-Programme-29-Final.pdf" TargetMode="External"/><Relationship Id="rId6" Type="http://schemas.openxmlformats.org/officeDocument/2006/relationships/hyperlink" Target="https://2020.dnanurse.org/" TargetMode="External"/><Relationship Id="rId15" Type="http://schemas.openxmlformats.org/officeDocument/2006/relationships/hyperlink" Target="https://globalskin.org/conference/conference-21" TargetMode="External"/><Relationship Id="rId23" Type="http://schemas.openxmlformats.org/officeDocument/2006/relationships/hyperlink" Target="https://isad.org/events/11th-georg-rajka-symposium-isad-seoul-2021" TargetMode="External"/><Relationship Id="rId28" Type="http://schemas.openxmlformats.org/officeDocument/2006/relationships/hyperlink" Target="https://www.meetingsint.com/conferences/medicaldermatology/2021/scientific-program" TargetMode="External"/><Relationship Id="rId36" Type="http://schemas.openxmlformats.org/officeDocument/2006/relationships/hyperlink" Target="https://dermatology.conferenceseries.com/europe/scientific-program.php" TargetMode="External"/><Relationship Id="rId49" Type="http://schemas.openxmlformats.org/officeDocument/2006/relationships/hyperlink" Target="https://www.eadvsymposium2021.org/wp-content/uploads/2021/04/EADV_Symposium2021.pdf" TargetMode="External"/><Relationship Id="rId57" Type="http://schemas.openxmlformats.org/officeDocument/2006/relationships/hyperlink" Target="https://esdrmeeting.org/" TargetMode="External"/><Relationship Id="rId106" Type="http://schemas.openxmlformats.org/officeDocument/2006/relationships/hyperlink" Target="https://www.espd.info/espd2022/espd-2022-programme" TargetMode="External"/><Relationship Id="rId114" Type="http://schemas.openxmlformats.org/officeDocument/2006/relationships/hyperlink" Target="https://cutaneousallergy.org/wp-content/uploads/2023/01/bsca_programme_booklet_2023.pdf" TargetMode="External"/><Relationship Id="rId10" Type="http://schemas.openxmlformats.org/officeDocument/2006/relationships/hyperlink" Target="https://revolutionizingad.com/images/Dec2021Conference/RAD_2021_Updated_Prospectus_-_December_2021_Updated_8Oct2021.pdf" TargetMode="External"/><Relationship Id="rId31" Type="http://schemas.openxmlformats.org/officeDocument/2006/relationships/hyperlink" Target="https://dermatology.cmesociety.com/organizing-committee" TargetMode="External"/><Relationship Id="rId44" Type="http://schemas.openxmlformats.org/officeDocument/2006/relationships/hyperlink" Target="https://eadvcongress2023.org/scientific/" TargetMode="External"/><Relationship Id="rId52" Type="http://schemas.openxmlformats.org/officeDocument/2006/relationships/hyperlink" Target="https://www.edf-meeting.com/en/" TargetMode="External"/><Relationship Id="rId60" Type="http://schemas.openxmlformats.org/officeDocument/2006/relationships/hyperlink" Target="http://esdrmeeting.org/wp-content/uploads/2019/09/20190912-ESDR-2019-Program-Book-Web.pdf" TargetMode="External"/><Relationship Id="rId65" Type="http://schemas.openxmlformats.org/officeDocument/2006/relationships/hyperlink" Target="https://www.irishdermatologists.ie/events/detail/spring-2023" TargetMode="External"/><Relationship Id="rId73" Type="http://schemas.openxmlformats.org/officeDocument/2006/relationships/hyperlink" Target="https://abbey.eventsair.com/AbbeyEventApp/pcdsi-2024/programme/Agenda" TargetMode="External"/><Relationship Id="rId78" Type="http://schemas.openxmlformats.org/officeDocument/2006/relationships/hyperlink" Target="https://www.pcds.org.uk/files/events/Scottish-Meeting-2023-final.pdf" TargetMode="External"/><Relationship Id="rId81" Type="http://schemas.openxmlformats.org/officeDocument/2006/relationships/hyperlink" Target="https://www.medicsevents.co.uk/events/advanced-dermoscopy-london-2020/" TargetMode="External"/><Relationship Id="rId86" Type="http://schemas.openxmlformats.org/officeDocument/2006/relationships/hyperlink" Target="https://badannualmeeting.co.uk/wp-content/PDF-Flip/BAD-Final-Programme-2021.html" TargetMode="External"/><Relationship Id="rId94" Type="http://schemas.openxmlformats.org/officeDocument/2006/relationships/hyperlink" Target="https://cutaneousallergy.org/wp-content/uploads/dlm_uploads/2021/02/Flyer-Dowling-Club-and-BSCA-Contact-Dermatitis-Update-Meeting-Friday-7th-May-2021.pdf" TargetMode="External"/><Relationship Id="rId99" Type="http://schemas.openxmlformats.org/officeDocument/2006/relationships/hyperlink" Target="https://cdn.eventsforce.net/files/ef-uip26iq56uzw/website/298/bsid_2021_scientific_programme_final_a.pdf" TargetMode="External"/><Relationship Id="rId101" Type="http://schemas.openxmlformats.org/officeDocument/2006/relationships/hyperlink" Target="https://www.bsmd.org.uk/events-courses" TargetMode="External"/><Relationship Id="rId4" Type="http://schemas.openxmlformats.org/officeDocument/2006/relationships/hyperlink" Target="https://2022.dnanurse.org/about/" TargetMode="External"/><Relationship Id="rId9" Type="http://schemas.openxmlformats.org/officeDocument/2006/relationships/hyperlink" Target="https://revolutionizingad.com/images/April2022/Prospectus/RAD_2022_Live_Prospectus_with_Agenda_114_v3_28Jan2022.pdf" TargetMode="External"/><Relationship Id="rId13" Type="http://schemas.openxmlformats.org/officeDocument/2006/relationships/hyperlink" Target="https://www.isds2023.org/wp-content/uploads/2022/05/ISDS-2020-21_Final-Programme_55x85-Zoll_RZ04_WEB.pdf" TargetMode="External"/><Relationship Id="rId18" Type="http://schemas.openxmlformats.org/officeDocument/2006/relationships/hyperlink" Target="https://www.worldskinsummit.com/_files/ugd/9ccfce_ba32edfc400e435e812fb0d76a5e20d5.pdf" TargetMode="External"/><Relationship Id="rId39" Type="http://schemas.openxmlformats.org/officeDocument/2006/relationships/hyperlink" Target="https://dermatology.conferenceseries.com/europe/2021/scientific-program.php?day=1&amp;sid=7376&amp;date=2021-07-13" TargetMode="External"/><Relationship Id="rId109" Type="http://schemas.openxmlformats.org/officeDocument/2006/relationships/hyperlink" Target="https://www.showsbee.com/fairs/BSPAD-Annual-Meeting.html" TargetMode="External"/><Relationship Id="rId34" Type="http://schemas.openxmlformats.org/officeDocument/2006/relationships/hyperlink" Target="https://eamciprodendpoint00.azureedge.net/eamciwesteuprod/production-mcigroup-public/a447586e6deb47869e2d83429fd0810d" TargetMode="External"/><Relationship Id="rId50" Type="http://schemas.openxmlformats.org/officeDocument/2006/relationships/hyperlink" Target="https://eadvapps.m-anage.com/eadvvirtual2020/en-GB/PublicProgram?pProgramGrade=Scientific" TargetMode="External"/><Relationship Id="rId55" Type="http://schemas.openxmlformats.org/officeDocument/2006/relationships/hyperlink" Target="https://www.edf-meeting.com/uploads/attachments/cl2g7ga1w0047dc91n5x6txwx-7-gzd-154143-ctlu-23-dermtogy.pdf" TargetMode="External"/><Relationship Id="rId76" Type="http://schemas.openxmlformats.org/officeDocument/2006/relationships/hyperlink" Target="https://www.icgp.ie/go/search/80339517-D547-4CBB-BB2FB59694897BBC" TargetMode="External"/><Relationship Id="rId97" Type="http://schemas.openxmlformats.org/officeDocument/2006/relationships/hyperlink" Target="https://www.bsid.org.uk/wp-content/uploads/2023/03/BSID-Annual-Meeting-2023-_Final-Programme190323.pdf" TargetMode="External"/><Relationship Id="rId104" Type="http://schemas.openxmlformats.org/officeDocument/2006/relationships/hyperlink" Target="https://www.espd.info/espd2024/congress-programme-2024" TargetMode="External"/><Relationship Id="rId7" Type="http://schemas.openxmlformats.org/officeDocument/2006/relationships/hyperlink" Target="https://2019.dnanurse.org/schedules/" TargetMode="External"/><Relationship Id="rId71" Type="http://schemas.openxmlformats.org/officeDocument/2006/relationships/hyperlink" Target="https://www.irishdermatologists.ie/events/detail/spring-2019" TargetMode="External"/><Relationship Id="rId92" Type="http://schemas.openxmlformats.org/officeDocument/2006/relationships/hyperlink" Target="https://www.emedevents.com/c/medical-conferences-2021/30th-british-dermatological-nursing-group-bdng-annual-conference" TargetMode="External"/><Relationship Id="rId2" Type="http://schemas.openxmlformats.org/officeDocument/2006/relationships/hyperlink" Target="https://2024.dnanurse.org/" TargetMode="External"/><Relationship Id="rId29" Type="http://schemas.openxmlformats.org/officeDocument/2006/relationships/hyperlink" Target="https://www.wcd2027guadalajara.org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ce.org.uk/guidance/ta681/resources/baricitinib-for-treating-moderate-to-severe-atopic-dermatitis-pdf-82609375014853" TargetMode="External"/><Relationship Id="rId13" Type="http://schemas.openxmlformats.org/officeDocument/2006/relationships/hyperlink" Target="https://www.nice.org.uk/guidance/ta82/resources/tacrolimus-and-pimecrolimus-for-atopic-eczema-pdf-2294815625413" TargetMode="External"/><Relationship Id="rId18" Type="http://schemas.openxmlformats.org/officeDocument/2006/relationships/hyperlink" Target="https://www.nice.org.uk/guidance/cg57/resources/atopic-eczema-in-under-12s-diagnosis-and-management-pdf-975512529349" TargetMode="External"/><Relationship Id="rId3" Type="http://schemas.openxmlformats.org/officeDocument/2006/relationships/hyperlink" Target="https://www.jaad.org/action/showPdf?pii=S0190-9622%2814%2901264-X" TargetMode="External"/><Relationship Id="rId21" Type="http://schemas.openxmlformats.org/officeDocument/2006/relationships/hyperlink" Target="https://onlinelibrary.wiley.com/doi/full/10.1111/bjd.14816" TargetMode="External"/><Relationship Id="rId7" Type="http://schemas.openxmlformats.org/officeDocument/2006/relationships/hyperlink" Target="https://www.nice.org.uk/guidance/ta814/resources/abrocitinib-tralokinumab-or-upadacitinib-for-treating-moderate-to-severe-atopic-dermatitis-pdf-82613310355141" TargetMode="External"/><Relationship Id="rId12" Type="http://schemas.openxmlformats.org/officeDocument/2006/relationships/hyperlink" Target="https://www.nice.org.uk/guidance/ng190/resources/secondary-bacterial-infection-of-eczema-and-other-common-skin-conditions-antimicrobial-prescribing-pdf-66142075429573" TargetMode="External"/><Relationship Id="rId17" Type="http://schemas.openxmlformats.org/officeDocument/2006/relationships/hyperlink" Target="https://eprints.whiterose.ac.uk/168442/" TargetMode="External"/><Relationship Id="rId2" Type="http://schemas.openxmlformats.org/officeDocument/2006/relationships/hyperlink" Target="https://www.jaad.org/action/showPdf?pii=S0190-9622%2814%2901257-2" TargetMode="External"/><Relationship Id="rId16" Type="http://schemas.openxmlformats.org/officeDocument/2006/relationships/hyperlink" Target="https://pubmed.ncbi.nlm.nih.gov/29672835/" TargetMode="External"/><Relationship Id="rId20" Type="http://schemas.openxmlformats.org/officeDocument/2006/relationships/hyperlink" Target="https://academic.oup.com/bjd/article/180/6/1312/6731158" TargetMode="External"/><Relationship Id="rId1" Type="http://schemas.openxmlformats.org/officeDocument/2006/relationships/hyperlink" Target="https://www.jaad.org/action/showPdf?pii=S0190-9622%2813%2901095-5" TargetMode="External"/><Relationship Id="rId6" Type="http://schemas.openxmlformats.org/officeDocument/2006/relationships/hyperlink" Target="https://www.thermofisher.com/diagnostic-education/dam/clinical/documents/EU-Guidelines-Atopic-Eczema-Adults-Children-Part2.pdf" TargetMode="External"/><Relationship Id="rId11" Type="http://schemas.openxmlformats.org/officeDocument/2006/relationships/hyperlink" Target="https://www.nice.org.uk/guidance/ta81/resources/frequency-of-application-of-topical-corticosteroids-for-atopic-eczema-pdf-2294813945797" TargetMode="External"/><Relationship Id="rId5" Type="http://schemas.openxmlformats.org/officeDocument/2006/relationships/hyperlink" Target="https://www.jaad.org/article/S0190-9622(17)31944-8/fulltext" TargetMode="External"/><Relationship Id="rId15" Type="http://schemas.openxmlformats.org/officeDocument/2006/relationships/hyperlink" Target="https://media.childrenshealthireland.ie/documents/dermatology-atopic-dermatitis-eczema-2022.pdf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s://www.nice.org.uk/guidance/ta534/resources/dupilumab-for-treating-moderate-to-severe-atopic-dermatitis-pdf-82606900940485" TargetMode="External"/><Relationship Id="rId19" Type="http://schemas.openxmlformats.org/officeDocument/2006/relationships/hyperlink" Target="https://academic.oup.com/bjd/article/174/1/24/6616636" TargetMode="External"/><Relationship Id="rId4" Type="http://schemas.openxmlformats.org/officeDocument/2006/relationships/hyperlink" Target="https://www.jaad.org/action/showPdf?pii=S0190-9622%2814%2901887-8" TargetMode="External"/><Relationship Id="rId9" Type="http://schemas.openxmlformats.org/officeDocument/2006/relationships/hyperlink" Target="https://www.rcplondon.ac.uk/guidelines-policy/dermatitis-occupational-aspects-management-2009" TargetMode="External"/><Relationship Id="rId14" Type="http://schemas.openxmlformats.org/officeDocument/2006/relationships/hyperlink" Target="https://www.nice.org.uk/guidance/indevelopment/gid-ta10597" TargetMode="External"/><Relationship Id="rId22" Type="http://schemas.openxmlformats.org/officeDocument/2006/relationships/hyperlink" Target="https://www.clinicalguidelines.scot.nhs.uk/nhsggc-guidelines/nhsggc-guidelines/dermatology/management-of-atopic-eczema-in-childre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inawareness.org/" TargetMode="External"/><Relationship Id="rId13" Type="http://schemas.openxmlformats.org/officeDocument/2006/relationships/hyperlink" Target="https://eczema.org/" TargetMode="External"/><Relationship Id="rId18" Type="http://schemas.openxmlformats.org/officeDocument/2006/relationships/hyperlink" Target="http://www.nottinghameczema.org.uk/" TargetMode="External"/><Relationship Id="rId3" Type="http://schemas.openxmlformats.org/officeDocument/2006/relationships/hyperlink" Target="https://globalskin.org/" TargetMode="External"/><Relationship Id="rId21" Type="http://schemas.openxmlformats.org/officeDocument/2006/relationships/hyperlink" Target="http://www.skinconditionscampaignscotland.org/" TargetMode="External"/><Relationship Id="rId7" Type="http://schemas.openxmlformats.org/officeDocument/2006/relationships/hyperlink" Target="https://www.changingfaces.org.uk/" TargetMode="External"/><Relationship Id="rId12" Type="http://schemas.openxmlformats.org/officeDocument/2006/relationships/hyperlink" Target="https://www.eczemacareonline.org.uk/en/intro" TargetMode="External"/><Relationship Id="rId17" Type="http://schemas.openxmlformats.org/officeDocument/2006/relationships/hyperlink" Target="https://www.eos.org.uk/" TargetMode="External"/><Relationship Id="rId2" Type="http://schemas.openxmlformats.org/officeDocument/2006/relationships/hyperlink" Target="https://www.improveeczemacare.com/" TargetMode="External"/><Relationship Id="rId16" Type="http://schemas.openxmlformats.org/officeDocument/2006/relationships/hyperlink" Target="http://skincarecymru.wales/" TargetMode="External"/><Relationship Id="rId20" Type="http://schemas.openxmlformats.org/officeDocument/2006/relationships/hyperlink" Target="https://www.allergyuk.org/" TargetMode="External"/><Relationship Id="rId1" Type="http://schemas.openxmlformats.org/officeDocument/2006/relationships/hyperlink" Target="https://www.altogethereczema.org/" TargetMode="External"/><Relationship Id="rId6" Type="http://schemas.openxmlformats.org/officeDocument/2006/relationships/hyperlink" Target="https://web.archive.org/web/20231003080323/http:/www.euroskinresearch.org/j15/" TargetMode="External"/><Relationship Id="rId11" Type="http://schemas.openxmlformats.org/officeDocument/2006/relationships/hyperlink" Target="https://www.britishskinfoundation.org.uk/" TargetMode="External"/><Relationship Id="rId5" Type="http://schemas.openxmlformats.org/officeDocument/2006/relationships/hyperlink" Target="https://www.itsan.org/" TargetMode="External"/><Relationship Id="rId15" Type="http://schemas.openxmlformats.org/officeDocument/2006/relationships/hyperlink" Target="https://scratchthat.org.uk/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irishskin.ie/" TargetMode="External"/><Relationship Id="rId19" Type="http://schemas.openxmlformats.org/officeDocument/2006/relationships/hyperlink" Target="https://www.parentsforeczemaresearch.com/" TargetMode="External"/><Relationship Id="rId4" Type="http://schemas.openxmlformats.org/officeDocument/2006/relationships/hyperlink" Target="https://www.eczemacouncil.org/" TargetMode="External"/><Relationship Id="rId9" Type="http://schemas.openxmlformats.org/officeDocument/2006/relationships/hyperlink" Target="https://web.archive.org/web/20220810201505/http:/www.skinsupport.org.uk/about-us.html" TargetMode="External"/><Relationship Id="rId14" Type="http://schemas.openxmlformats.org/officeDocument/2006/relationships/hyperlink" Target="https://patient.info/" TargetMode="External"/><Relationship Id="rId22" Type="http://schemas.openxmlformats.org/officeDocument/2006/relationships/hyperlink" Target="http://www.eczemascotland.org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tsocdermpath.org/" TargetMode="External"/><Relationship Id="rId18" Type="http://schemas.openxmlformats.org/officeDocument/2006/relationships/hyperlink" Target="https://www.dermepi.eu/" TargetMode="External"/><Relationship Id="rId26" Type="http://schemas.openxmlformats.org/officeDocument/2006/relationships/hyperlink" Target="https://web.archive.org/web/20220926003601/http:/ewdvs.com/" TargetMode="External"/><Relationship Id="rId39" Type="http://schemas.openxmlformats.org/officeDocument/2006/relationships/hyperlink" Target="https://www.bsscii.org.uk/" TargetMode="External"/><Relationship Id="rId21" Type="http://schemas.openxmlformats.org/officeDocument/2006/relationships/hyperlink" Target="https://ern-skin.eu/" TargetMode="External"/><Relationship Id="rId34" Type="http://schemas.openxmlformats.org/officeDocument/2006/relationships/hyperlink" Target="https://bpg.org.uk/" TargetMode="External"/><Relationship Id="rId42" Type="http://schemas.openxmlformats.org/officeDocument/2006/relationships/hyperlink" Target="https://rapideczematrials.org/" TargetMode="External"/><Relationship Id="rId47" Type="http://schemas.openxmlformats.org/officeDocument/2006/relationships/hyperlink" Target="https://www.espd.info/" TargetMode="External"/><Relationship Id="rId50" Type="http://schemas.openxmlformats.org/officeDocument/2006/relationships/hyperlink" Target="https://www.discoveryiod.org.uk/" TargetMode="External"/><Relationship Id="rId55" Type="http://schemas.openxmlformats.org/officeDocument/2006/relationships/hyperlink" Target="http://www.badbir.org/" TargetMode="External"/><Relationship Id="rId7" Type="http://schemas.openxmlformats.org/officeDocument/2006/relationships/hyperlink" Target="https://dermoscopy-ids.org/" TargetMode="External"/><Relationship Id="rId12" Type="http://schemas.openxmlformats.org/officeDocument/2006/relationships/hyperlink" Target="https://www.intsocderm.org/" TargetMode="External"/><Relationship Id="rId17" Type="http://schemas.openxmlformats.org/officeDocument/2006/relationships/hyperlink" Target="https://www.uems-ebdv.org/web/" TargetMode="External"/><Relationship Id="rId25" Type="http://schemas.openxmlformats.org/officeDocument/2006/relationships/hyperlink" Target="https://www.essca-dc.org/" TargetMode="External"/><Relationship Id="rId33" Type="http://schemas.openxmlformats.org/officeDocument/2006/relationships/hyperlink" Target="https://bdng.org.uk/" TargetMode="External"/><Relationship Id="rId38" Type="http://schemas.openxmlformats.org/officeDocument/2006/relationships/hyperlink" Target="https://www.bsmd.org.uk/" TargetMode="External"/><Relationship Id="rId46" Type="http://schemas.openxmlformats.org/officeDocument/2006/relationships/hyperlink" Target="https://www.ispedderm.com/" TargetMode="External"/><Relationship Id="rId2" Type="http://schemas.openxmlformats.org/officeDocument/2006/relationships/hyperlink" Target="https://www.atopicdermatitisatlas.org/en/" TargetMode="External"/><Relationship Id="rId16" Type="http://schemas.openxmlformats.org/officeDocument/2006/relationships/hyperlink" Target="https://www.eadv.org/" TargetMode="External"/><Relationship Id="rId20" Type="http://schemas.openxmlformats.org/officeDocument/2006/relationships/hyperlink" Target="https://www.eecdrg.org/" TargetMode="External"/><Relationship Id="rId29" Type="http://schemas.openxmlformats.org/officeDocument/2006/relationships/hyperlink" Target="https://nisrsolutions.com/" TargetMode="External"/><Relationship Id="rId41" Type="http://schemas.openxmlformats.org/officeDocument/2006/relationships/hyperlink" Target="https://www.psychodermatology.co.uk/" TargetMode="External"/><Relationship Id="rId54" Type="http://schemas.openxmlformats.org/officeDocument/2006/relationships/hyperlink" Target="https://www.bad.org.uk/derm_groups_charity/dowling-club/" TargetMode="External"/><Relationship Id="rId1" Type="http://schemas.openxmlformats.org/officeDocument/2006/relationships/hyperlink" Target="https://www.dnanurse.org/" TargetMode="External"/><Relationship Id="rId6" Type="http://schemas.openxmlformats.org/officeDocument/2006/relationships/hyperlink" Target="https://www.icdrg.org/" TargetMode="External"/><Relationship Id="rId11" Type="http://schemas.openxmlformats.org/officeDocument/2006/relationships/hyperlink" Target="https://www.isadsociety.org/" TargetMode="External"/><Relationship Id="rId24" Type="http://schemas.openxmlformats.org/officeDocument/2006/relationships/hyperlink" Target="https://escd.org/" TargetMode="External"/><Relationship Id="rId32" Type="http://schemas.openxmlformats.org/officeDocument/2006/relationships/hyperlink" Target="https://badgem.org.uk/" TargetMode="External"/><Relationship Id="rId37" Type="http://schemas.openxmlformats.org/officeDocument/2006/relationships/hyperlink" Target="https://www.bsid.org.uk/" TargetMode="External"/><Relationship Id="rId40" Type="http://schemas.openxmlformats.org/officeDocument/2006/relationships/hyperlink" Target="https://www.pcds.org.uk/" TargetMode="External"/><Relationship Id="rId45" Type="http://schemas.openxmlformats.org/officeDocument/2006/relationships/hyperlink" Target="https://www.uktrend.org/" TargetMode="External"/><Relationship Id="rId53" Type="http://schemas.openxmlformats.org/officeDocument/2006/relationships/hyperlink" Target="https://www.kingsfund.org.uk/" TargetMode="External"/><Relationship Id="rId5" Type="http://schemas.openxmlformats.org/officeDocument/2006/relationships/hyperlink" Target="http://www.icdermpath.org/" TargetMode="External"/><Relationship Id="rId15" Type="http://schemas.openxmlformats.org/officeDocument/2006/relationships/hyperlink" Target="https://www.spindermatology.org/" TargetMode="External"/><Relationship Id="rId23" Type="http://schemas.openxmlformats.org/officeDocument/2006/relationships/hyperlink" Target="https://www.psychodermatology.net/" TargetMode="External"/><Relationship Id="rId28" Type="http://schemas.openxmlformats.org/officeDocument/2006/relationships/hyperlink" Target="https://www.irishdermatologists.ie/" TargetMode="External"/><Relationship Id="rId36" Type="http://schemas.openxmlformats.org/officeDocument/2006/relationships/hyperlink" Target="https://thebsd.org.uk/" TargetMode="External"/><Relationship Id="rId49" Type="http://schemas.openxmlformats.org/officeDocument/2006/relationships/hyperlink" Target="https://astar-register.org/" TargetMode="External"/><Relationship Id="rId57" Type="http://schemas.openxmlformats.org/officeDocument/2006/relationships/printerSettings" Target="../printerSettings/printerSettings6.bin"/><Relationship Id="rId10" Type="http://schemas.openxmlformats.org/officeDocument/2006/relationships/hyperlink" Target="https://isdis.org/" TargetMode="External"/><Relationship Id="rId19" Type="http://schemas.openxmlformats.org/officeDocument/2006/relationships/hyperlink" Target="https://www.edf.one/en/" TargetMode="External"/><Relationship Id="rId31" Type="http://schemas.openxmlformats.org/officeDocument/2006/relationships/hyperlink" Target="https://bad.org.uk/" TargetMode="External"/><Relationship Id="rId44" Type="http://schemas.openxmlformats.org/officeDocument/2006/relationships/hyperlink" Target="http://www.ukdctn.org/index.aspx" TargetMode="External"/><Relationship Id="rId52" Type="http://schemas.openxmlformats.org/officeDocument/2006/relationships/hyperlink" Target="https://web.archive.org/web/20220930052340/http:/www.irishdermatologynurses.ie/" TargetMode="External"/><Relationship Id="rId4" Type="http://schemas.openxmlformats.org/officeDocument/2006/relationships/hyperlink" Target="https://www.gloderm.org/" TargetMode="External"/><Relationship Id="rId9" Type="http://schemas.openxmlformats.org/officeDocument/2006/relationships/hyperlink" Target="https://www.isdsworld.com/" TargetMode="External"/><Relationship Id="rId14" Type="http://schemas.openxmlformats.org/officeDocument/2006/relationships/hyperlink" Target="http://www.telemedicine.org/" TargetMode="External"/><Relationship Id="rId22" Type="http://schemas.openxmlformats.org/officeDocument/2006/relationships/hyperlink" Target="https://esdr.org/" TargetMode="External"/><Relationship Id="rId27" Type="http://schemas.openxmlformats.org/officeDocument/2006/relationships/hyperlink" Target="https://www.pcdsi.com/" TargetMode="External"/><Relationship Id="rId30" Type="http://schemas.openxmlformats.org/officeDocument/2006/relationships/hyperlink" Target="https://www.sds.org.uk/" TargetMode="External"/><Relationship Id="rId35" Type="http://schemas.openxmlformats.org/officeDocument/2006/relationships/hyperlink" Target="https://cutaneousallergy.org/" TargetMode="External"/><Relationship Id="rId43" Type="http://schemas.openxmlformats.org/officeDocument/2006/relationships/hyperlink" Target="https://bsds.org.uk/" TargetMode="External"/><Relationship Id="rId48" Type="http://schemas.openxmlformats.org/officeDocument/2006/relationships/hyperlink" Target="https://bspad.co.uk/" TargetMode="External"/><Relationship Id="rId56" Type="http://schemas.openxmlformats.org/officeDocument/2006/relationships/hyperlink" Target="https://www.sds.org.uk/content/scottish-skin-biology-club" TargetMode="External"/><Relationship Id="rId8" Type="http://schemas.openxmlformats.org/officeDocument/2006/relationships/hyperlink" Target="https://ilds.org/" TargetMode="External"/><Relationship Id="rId51" Type="http://schemas.openxmlformats.org/officeDocument/2006/relationships/hyperlink" Target="https://web.archive.org/web/20210416200855/http:/sdns.co.uk/" TargetMode="External"/><Relationship Id="rId3" Type="http://schemas.openxmlformats.org/officeDocument/2006/relationships/hyperlink" Target="http://www.homeforeczema.org/index.asp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.ac.uk/" TargetMode="External"/><Relationship Id="rId13" Type="http://schemas.openxmlformats.org/officeDocument/2006/relationships/hyperlink" Target="https://www.nice.org.uk/" TargetMode="External"/><Relationship Id="rId18" Type="http://schemas.openxmlformats.org/officeDocument/2006/relationships/hyperlink" Target="https://awttc.nhs.wales/about-us1/our-committees/" TargetMode="External"/><Relationship Id="rId3" Type="http://schemas.openxmlformats.org/officeDocument/2006/relationships/hyperlink" Target="https://www.england.nhs.uk/medicines-2/commercial-medicines/commercial-medicines-unit/" TargetMode="External"/><Relationship Id="rId7" Type="http://schemas.openxmlformats.org/officeDocument/2006/relationships/hyperlink" Target="http://www.healthcareimprovementscotland.org/" TargetMode="External"/><Relationship Id="rId12" Type="http://schemas.openxmlformats.org/officeDocument/2006/relationships/hyperlink" Target="https://www.ndph.ox.ac.uk/our-research/health-services-research-unit-hsru" TargetMode="External"/><Relationship Id="rId17" Type="http://schemas.openxmlformats.org/officeDocument/2006/relationships/hyperlink" Target="https://www.sps.nhs.uk/articles/sps-horizon-scanning/" TargetMode="External"/><Relationship Id="rId2" Type="http://schemas.openxmlformats.org/officeDocument/2006/relationships/hyperlink" Target="http://ccg.centreformedicinesoptimisation.co.uk/mtrac/" TargetMode="External"/><Relationship Id="rId16" Type="http://schemas.openxmlformats.org/officeDocument/2006/relationships/hyperlink" Target="http://rdtc.nhs.uk/" TargetMode="External"/><Relationship Id="rId1" Type="http://schemas.openxmlformats.org/officeDocument/2006/relationships/hyperlink" Target="http://gmmmg.nhs.uk/" TargetMode="External"/><Relationship Id="rId6" Type="http://schemas.openxmlformats.org/officeDocument/2006/relationships/hyperlink" Target="http://www.ncpe.ie/" TargetMode="External"/><Relationship Id="rId11" Type="http://schemas.openxmlformats.org/officeDocument/2006/relationships/hyperlink" Target="http://www.york.ac.uk/inst/crd/" TargetMode="External"/><Relationship Id="rId5" Type="http://schemas.openxmlformats.org/officeDocument/2006/relationships/hyperlink" Target="https://www.hiqa.ie/" TargetMode="External"/><Relationship Id="rId15" Type="http://schemas.openxmlformats.org/officeDocument/2006/relationships/hyperlink" Target="http://ntag.nhs.uk/" TargetMode="External"/><Relationship Id="rId10" Type="http://schemas.openxmlformats.org/officeDocument/2006/relationships/hyperlink" Target="http://centreformedicinesoptimisation.co.uk/contact/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s://www.ndph.ox.ac.uk/" TargetMode="External"/><Relationship Id="rId9" Type="http://schemas.openxmlformats.org/officeDocument/2006/relationships/hyperlink" Target="http://www.scottishmedicines.org.uk/" TargetMode="External"/><Relationship Id="rId14" Type="http://schemas.openxmlformats.org/officeDocument/2006/relationships/hyperlink" Target="https://www.nihr.ac.uk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land.nhs.uk/commissioning/spec-services/npc-crg/group-a/specialised-dermatology/" TargetMode="External"/><Relationship Id="rId13" Type="http://schemas.openxmlformats.org/officeDocument/2006/relationships/hyperlink" Target="https://www.thepsi.ie/gns/home.aspx" TargetMode="External"/><Relationship Id="rId18" Type="http://schemas.openxmlformats.org/officeDocument/2006/relationships/hyperlink" Target="https://www.pharmacopoeia.com/" TargetMode="External"/><Relationship Id="rId26" Type="http://schemas.openxmlformats.org/officeDocument/2006/relationships/hyperlink" Target="https://www.gov.uk/government/organisations/uk-health-security-agency" TargetMode="External"/><Relationship Id="rId3" Type="http://schemas.openxmlformats.org/officeDocument/2006/relationships/hyperlink" Target="https://www.ema.europa.eu/en/committees/committee-medicinal-products-human-use-chmp" TargetMode="External"/><Relationship Id="rId21" Type="http://schemas.openxmlformats.org/officeDocument/2006/relationships/hyperlink" Target="https://www.gettingitrightfirsttime.co.uk/" TargetMode="External"/><Relationship Id="rId7" Type="http://schemas.openxmlformats.org/officeDocument/2006/relationships/hyperlink" Target="https://www.england.nhs.uk/" TargetMode="External"/><Relationship Id="rId12" Type="http://schemas.openxmlformats.org/officeDocument/2006/relationships/hyperlink" Target="https://www.hse.ie/eng/" TargetMode="External"/><Relationship Id="rId17" Type="http://schemas.openxmlformats.org/officeDocument/2006/relationships/hyperlink" Target="http://www.abpi.org.uk/" TargetMode="External"/><Relationship Id="rId25" Type="http://schemas.openxmlformats.org/officeDocument/2006/relationships/hyperlink" Target="https://www.gov.uk/government/organisations/office-for-health-improvement-and-disparities" TargetMode="External"/><Relationship Id="rId2" Type="http://schemas.openxmlformats.org/officeDocument/2006/relationships/hyperlink" Target="http://ecdc.europa.eu/en/Pages/home.aspx" TargetMode="External"/><Relationship Id="rId16" Type="http://schemas.openxmlformats.org/officeDocument/2006/relationships/hyperlink" Target="https://www.publichealthscotland.scot/" TargetMode="External"/><Relationship Id="rId20" Type="http://schemas.openxmlformats.org/officeDocument/2006/relationships/hyperlink" Target="http://www.pharmacyregulation.org/" TargetMode="External"/><Relationship Id="rId29" Type="http://schemas.openxmlformats.org/officeDocument/2006/relationships/printerSettings" Target="../printerSettings/printerSettings8.bin"/><Relationship Id="rId1" Type="http://schemas.openxmlformats.org/officeDocument/2006/relationships/hyperlink" Target="https://www.who.int/" TargetMode="External"/><Relationship Id="rId6" Type="http://schemas.openxmlformats.org/officeDocument/2006/relationships/hyperlink" Target="http://www.ema.europa.eu/" TargetMode="External"/><Relationship Id="rId11" Type="http://schemas.openxmlformats.org/officeDocument/2006/relationships/hyperlink" Target="https://www.hpra.ie/" TargetMode="External"/><Relationship Id="rId24" Type="http://schemas.openxmlformats.org/officeDocument/2006/relationships/hyperlink" Target="https://www.nihr.ac.uk/explore-nihr/funding-programmes/health-technology-assessment.htm" TargetMode="External"/><Relationship Id="rId5" Type="http://schemas.openxmlformats.org/officeDocument/2006/relationships/hyperlink" Target="http://www.hma.eu/" TargetMode="External"/><Relationship Id="rId15" Type="http://schemas.openxmlformats.org/officeDocument/2006/relationships/hyperlink" Target="https://www.publichealth.hscni.net/" TargetMode="External"/><Relationship Id="rId23" Type="http://schemas.openxmlformats.org/officeDocument/2006/relationships/hyperlink" Target="https://www.nhsbsa.nhs.uk/nhs-prescription-services" TargetMode="External"/><Relationship Id="rId28" Type="http://schemas.openxmlformats.org/officeDocument/2006/relationships/hyperlink" Target="https://phw.nhs.wales/" TargetMode="External"/><Relationship Id="rId10" Type="http://schemas.openxmlformats.org/officeDocument/2006/relationships/hyperlink" Target="https://www.hsa.ie/eng/" TargetMode="External"/><Relationship Id="rId19" Type="http://schemas.openxmlformats.org/officeDocument/2006/relationships/hyperlink" Target="https://www.gov.uk/government/organisations/department-of-health-and-social-care" TargetMode="External"/><Relationship Id="rId4" Type="http://schemas.openxmlformats.org/officeDocument/2006/relationships/hyperlink" Target="https://www.edqm.eu/en/" TargetMode="External"/><Relationship Id="rId9" Type="http://schemas.openxmlformats.org/officeDocument/2006/relationships/hyperlink" Target="https://www.gov.ie/en/organisation/department-of-health/" TargetMode="External"/><Relationship Id="rId14" Type="http://schemas.openxmlformats.org/officeDocument/2006/relationships/hyperlink" Target="http://www.psni.org.uk/" TargetMode="External"/><Relationship Id="rId22" Type="http://schemas.openxmlformats.org/officeDocument/2006/relationships/hyperlink" Target="https://www.gov.uk/government/organisations/medicines-and-healthcare-products-regulatory-agency" TargetMode="External"/><Relationship Id="rId27" Type="http://schemas.openxmlformats.org/officeDocument/2006/relationships/hyperlink" Target="http://www.wales.nhs.uk/sitesplus/956/home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althinnovationnwc.nhs.uk/" TargetMode="External"/><Relationship Id="rId13" Type="http://schemas.openxmlformats.org/officeDocument/2006/relationships/hyperlink" Target="https://www.healthinnovationwestmidlands.org/" TargetMode="External"/><Relationship Id="rId3" Type="http://schemas.openxmlformats.org/officeDocument/2006/relationships/hyperlink" Target="https://healthinnovation-em.org.uk/" TargetMode="External"/><Relationship Id="rId7" Type="http://schemas.openxmlformats.org/officeDocument/2006/relationships/hyperlink" Target="https://healthinnovationnenc.org.uk/" TargetMode="External"/><Relationship Id="rId12" Type="http://schemas.openxmlformats.org/officeDocument/2006/relationships/hyperlink" Target="https://healthinnovationwessex.org.uk/" TargetMode="External"/><Relationship Id="rId2" Type="http://schemas.openxmlformats.org/officeDocument/2006/relationships/hyperlink" Target="https://healthinnovationeast.co.uk/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https://healthinnovationnetwork.com/" TargetMode="External"/><Relationship Id="rId6" Type="http://schemas.openxmlformats.org/officeDocument/2006/relationships/hyperlink" Target="https://healthinnovation-kss.com/" TargetMode="External"/><Relationship Id="rId11" Type="http://schemas.openxmlformats.org/officeDocument/2006/relationships/hyperlink" Target="https://uclpartners.com/" TargetMode="External"/><Relationship Id="rId5" Type="http://schemas.openxmlformats.org/officeDocument/2006/relationships/hyperlink" Target="https://imperialcollegehealthpartners.com/" TargetMode="External"/><Relationship Id="rId15" Type="http://schemas.openxmlformats.org/officeDocument/2006/relationships/hyperlink" Target="https://www.healthinnovationyh.org.uk/" TargetMode="External"/><Relationship Id="rId10" Type="http://schemas.openxmlformats.org/officeDocument/2006/relationships/hyperlink" Target="https://healthinnovationsouthwest.com/" TargetMode="External"/><Relationship Id="rId4" Type="http://schemas.openxmlformats.org/officeDocument/2006/relationships/hyperlink" Target="https://healthinnovationmanchester.com/" TargetMode="External"/><Relationship Id="rId9" Type="http://schemas.openxmlformats.org/officeDocument/2006/relationships/hyperlink" Target="https://www.healthinnovationoxford.org/" TargetMode="External"/><Relationship Id="rId14" Type="http://schemas.openxmlformats.org/officeDocument/2006/relationships/hyperlink" Target="https://www.healthinnowest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F76"/>
  <sheetViews>
    <sheetView showGridLines="0"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3"/>
  <cols>
    <col min="1" max="1" width="6.1796875" style="10" customWidth="1"/>
    <col min="2" max="2" width="50.81640625" style="10" customWidth="1"/>
    <col min="3" max="3" width="24.81640625" style="10" customWidth="1"/>
    <col min="4" max="4" width="43.1796875" style="10" customWidth="1"/>
    <col min="5" max="5" width="16.453125" style="29" customWidth="1"/>
    <col min="6" max="6" width="36.81640625" style="11" customWidth="1"/>
    <col min="7" max="16384" width="14.1796875" style="10"/>
  </cols>
  <sheetData>
    <row r="1" spans="1:6" ht="24.75" customHeight="1" x14ac:dyDescent="0.25">
      <c r="A1" s="61" t="s">
        <v>4</v>
      </c>
      <c r="B1" s="61"/>
      <c r="C1" s="61"/>
      <c r="D1" s="61"/>
      <c r="E1" s="61"/>
      <c r="F1" s="61"/>
    </row>
    <row r="2" spans="1:6" ht="15" customHeight="1" x14ac:dyDescent="0.25">
      <c r="A2" s="62" t="s">
        <v>1</v>
      </c>
      <c r="B2" s="63"/>
      <c r="C2" s="63"/>
      <c r="D2" s="63"/>
      <c r="E2" s="63"/>
      <c r="F2" s="63"/>
    </row>
    <row r="3" spans="1:6" ht="15" customHeight="1" x14ac:dyDescent="0.25">
      <c r="A3" s="63"/>
      <c r="B3" s="63"/>
      <c r="C3" s="63"/>
      <c r="D3" s="63"/>
      <c r="E3" s="63"/>
      <c r="F3" s="63"/>
    </row>
    <row r="4" spans="1:6" ht="28.5" customHeight="1" x14ac:dyDescent="0.25">
      <c r="A4" s="36" t="s">
        <v>14</v>
      </c>
      <c r="B4" s="36" t="s">
        <v>13</v>
      </c>
      <c r="C4" s="36" t="s">
        <v>15</v>
      </c>
      <c r="D4" s="36" t="s">
        <v>16</v>
      </c>
      <c r="E4" s="47" t="s">
        <v>902</v>
      </c>
      <c r="F4" s="36" t="s">
        <v>3</v>
      </c>
    </row>
    <row r="5" spans="1:6" ht="16" customHeight="1" x14ac:dyDescent="0.35">
      <c r="A5" s="48">
        <v>1</v>
      </c>
      <c r="B5" s="2" t="str">
        <f>HYPERLINK("https://www.thelancet.com/lancet-people","Lancet")</f>
        <v>Lancet</v>
      </c>
      <c r="C5" s="23">
        <v>202.73099999999999</v>
      </c>
      <c r="D5" s="2" t="s">
        <v>39</v>
      </c>
      <c r="E5" s="28" t="s">
        <v>903</v>
      </c>
      <c r="F5" s="24"/>
    </row>
    <row r="6" spans="1:6" ht="16" customHeight="1" x14ac:dyDescent="0.35">
      <c r="A6" s="48">
        <v>2</v>
      </c>
      <c r="B6" s="2" t="str">
        <f>HYPERLINK("https://www.nejm.org/about-nejm/editors-and-publishers","The New England Journal of Medicine")</f>
        <v>The New England Journal of Medicine</v>
      </c>
      <c r="C6" s="23">
        <v>176.07900000000001</v>
      </c>
      <c r="D6" s="2" t="s">
        <v>38</v>
      </c>
      <c r="E6" s="28" t="s">
        <v>903</v>
      </c>
      <c r="F6" s="24"/>
    </row>
    <row r="7" spans="1:6" ht="16" customHeight="1" x14ac:dyDescent="0.35">
      <c r="A7" s="48">
        <v>3</v>
      </c>
      <c r="B7" s="8" t="str">
        <f>HYPERLINK("https://jamanetwork.com/journals/jama","JAMA")</f>
        <v>JAMA</v>
      </c>
      <c r="C7" s="23">
        <v>157.30000000000001</v>
      </c>
      <c r="D7" s="2" t="s">
        <v>47</v>
      </c>
      <c r="E7" s="28" t="s">
        <v>903</v>
      </c>
      <c r="F7" s="24"/>
    </row>
    <row r="8" spans="1:6" ht="16" customHeight="1" x14ac:dyDescent="0.35">
      <c r="A8" s="48">
        <v>4</v>
      </c>
      <c r="B8" s="8" t="str">
        <f>HYPERLINK("http://www.bmj.com/about-bmj","British Medical Journal")</f>
        <v>British Medical Journal</v>
      </c>
      <c r="C8" s="23">
        <v>93.332999999999998</v>
      </c>
      <c r="D8" s="2" t="s">
        <v>42</v>
      </c>
      <c r="E8" s="28" t="s">
        <v>903</v>
      </c>
      <c r="F8" s="24"/>
    </row>
    <row r="9" spans="1:6" ht="16" customHeight="1" x14ac:dyDescent="0.35">
      <c r="A9" s="48">
        <v>5</v>
      </c>
      <c r="B9" s="8" t="str">
        <f>HYPERLINK("https://www.nature.com/nature/about/editors","Nature")</f>
        <v>Nature</v>
      </c>
      <c r="C9" s="23">
        <v>69.504000000000005</v>
      </c>
      <c r="D9" s="2" t="s">
        <v>40</v>
      </c>
      <c r="E9" s="28" t="s">
        <v>903</v>
      </c>
      <c r="F9" s="24"/>
    </row>
    <row r="10" spans="1:6" ht="16" customHeight="1" x14ac:dyDescent="0.35">
      <c r="A10" s="48">
        <v>6</v>
      </c>
      <c r="B10" s="8" t="str">
        <f>HYPERLINK("https://www.cell.com/cell/editorial-board","Cell")</f>
        <v>Cell</v>
      </c>
      <c r="C10" s="23">
        <v>66.849999999999994</v>
      </c>
      <c r="D10" s="2" t="s">
        <v>41</v>
      </c>
      <c r="E10" s="28" t="s">
        <v>903</v>
      </c>
      <c r="F10" s="24"/>
    </row>
    <row r="11" spans="1:6" ht="16" customHeight="1" x14ac:dyDescent="0.35">
      <c r="A11" s="48">
        <v>7</v>
      </c>
      <c r="B11" s="8" t="str">
        <f>HYPERLINK("https://www.science.org/journal/science","Science")</f>
        <v>Science</v>
      </c>
      <c r="C11" s="23">
        <v>63.713999999999999</v>
      </c>
      <c r="D11" s="2" t="s">
        <v>136</v>
      </c>
      <c r="E11" s="28" t="s">
        <v>903</v>
      </c>
      <c r="F11" s="24"/>
    </row>
    <row r="12" spans="1:6" ht="16" customHeight="1" x14ac:dyDescent="0.35">
      <c r="A12" s="48">
        <v>8</v>
      </c>
      <c r="B12" s="8" t="str">
        <f>HYPERLINK("https://www.nature.com/cr/about/editorial-board","Cell Research")</f>
        <v>Cell Research</v>
      </c>
      <c r="C12" s="23">
        <v>46.296999999999997</v>
      </c>
      <c r="D12" s="2" t="s">
        <v>43</v>
      </c>
      <c r="E12" s="28" t="s">
        <v>903</v>
      </c>
      <c r="F12" s="24"/>
    </row>
    <row r="13" spans="1:6" ht="16" customHeight="1" x14ac:dyDescent="0.35">
      <c r="A13" s="48">
        <v>9</v>
      </c>
      <c r="B13" s="8" t="str">
        <f>HYPERLINK("https://onlinelibrary.wiley.com/page/journal/1469185x/homepage/editorialboard.html","Biological Reviews")</f>
        <v>Biological Reviews</v>
      </c>
      <c r="C13" s="23">
        <v>14.35</v>
      </c>
      <c r="D13" s="2" t="s">
        <v>44</v>
      </c>
      <c r="E13" s="28" t="s">
        <v>903</v>
      </c>
      <c r="F13" s="24"/>
    </row>
    <row r="14" spans="1:6" ht="16" customHeight="1" x14ac:dyDescent="0.35">
      <c r="A14" s="48">
        <v>10</v>
      </c>
      <c r="B14" s="8" t="str">
        <f>HYPERLINK("https://www.embopress.org/page/journal/14602075/editors","EMBO Journal")</f>
        <v>EMBO Journal</v>
      </c>
      <c r="C14" s="23">
        <v>14</v>
      </c>
      <c r="D14" s="2" t="s">
        <v>46</v>
      </c>
      <c r="E14" s="28" t="s">
        <v>903</v>
      </c>
      <c r="F14" s="24"/>
    </row>
    <row r="15" spans="1:6" ht="16" customHeight="1" x14ac:dyDescent="0.35">
      <c r="A15" s="48">
        <v>11</v>
      </c>
      <c r="B15" s="8" t="str">
        <f>HYPERLINK("https://jamanetwork.com/journals/jamadermatology","JAMA Dermatology")</f>
        <v>JAMA Dermatology</v>
      </c>
      <c r="C15" s="23">
        <v>11.816000000000001</v>
      </c>
      <c r="D15" s="2" t="s">
        <v>142</v>
      </c>
      <c r="E15" s="28" t="s">
        <v>904</v>
      </c>
      <c r="F15" s="24"/>
    </row>
    <row r="16" spans="1:6" ht="16" customHeight="1" x14ac:dyDescent="0.35">
      <c r="A16" s="48">
        <v>12</v>
      </c>
      <c r="B16" s="8" t="str">
        <f>HYPERLINK("https://academic.oup.com/bjd","British Journal of Dermatology")</f>
        <v>British Journal of Dermatology</v>
      </c>
      <c r="C16" s="23">
        <v>11.113</v>
      </c>
      <c r="D16" s="2" t="s">
        <v>143</v>
      </c>
      <c r="E16" s="28" t="s">
        <v>904</v>
      </c>
      <c r="F16" s="24"/>
    </row>
    <row r="17" spans="1:6" ht="16" customHeight="1" x14ac:dyDescent="0.35">
      <c r="A17" s="48">
        <v>13</v>
      </c>
      <c r="B17" s="8" t="str">
        <f>HYPERLINK("https://journals.plos.org/plosmedicine/s/editorial-board","PLOS Medicine")</f>
        <v>PLOS Medicine</v>
      </c>
      <c r="C17" s="23">
        <v>11.069000000000001</v>
      </c>
      <c r="D17" s="2" t="s">
        <v>45</v>
      </c>
      <c r="E17" s="28" t="s">
        <v>903</v>
      </c>
      <c r="F17" s="24"/>
    </row>
    <row r="18" spans="1:6" ht="16" customHeight="1" x14ac:dyDescent="0.35">
      <c r="A18" s="48">
        <v>14</v>
      </c>
      <c r="B18" s="8" t="str">
        <f>HYPERLINK("https://onlinelibrary.wiley.com/page/journal/14683083/homepage/editorialboard.html","Journal of the European Academy of Dermatology and Venereology")</f>
        <v>Journal of the European Academy of Dermatology and Venereology</v>
      </c>
      <c r="C18" s="23">
        <v>9.2279999999999998</v>
      </c>
      <c r="D18" s="2" t="s">
        <v>145</v>
      </c>
      <c r="E18" s="28" t="s">
        <v>904</v>
      </c>
      <c r="F18" s="24"/>
    </row>
    <row r="19" spans="1:6" ht="16" customHeight="1" x14ac:dyDescent="0.35">
      <c r="A19" s="48">
        <v>15</v>
      </c>
      <c r="B19" s="8" t="str">
        <f>HYPERLINK("https://www.jidonline.org/","Journal of Investigative Dermatology")</f>
        <v>Journal of Investigative Dermatology</v>
      </c>
      <c r="C19" s="23">
        <v>7.59</v>
      </c>
      <c r="D19" s="2" t="s">
        <v>144</v>
      </c>
      <c r="E19" s="28" t="s">
        <v>904</v>
      </c>
      <c r="F19" s="24"/>
    </row>
    <row r="20" spans="1:6" ht="16" customHeight="1" x14ac:dyDescent="0.35">
      <c r="A20" s="48">
        <v>16</v>
      </c>
      <c r="B20" s="8" t="str">
        <f>HYPERLINK("https://www.springer.com/journal/11","Inflammation Research")</f>
        <v>Inflammation Research</v>
      </c>
      <c r="C20" s="23">
        <v>6.9859999999999998</v>
      </c>
      <c r="D20" s="2" t="s">
        <v>148</v>
      </c>
      <c r="E20" s="28" t="s">
        <v>904</v>
      </c>
      <c r="F20" s="24"/>
    </row>
    <row r="21" spans="1:6" ht="16" customHeight="1" x14ac:dyDescent="0.35">
      <c r="A21" s="48">
        <v>17</v>
      </c>
      <c r="B21" s="8" t="str">
        <f>HYPERLINK("https://www.journals.elsevier.com/journal-of-dermatological-science","Journal of Dermatological Science")</f>
        <v>Journal of Dermatological Science</v>
      </c>
      <c r="C21" s="23">
        <v>5.4080000000000004</v>
      </c>
      <c r="D21" s="2" t="s">
        <v>149</v>
      </c>
      <c r="E21" s="28" t="s">
        <v>904</v>
      </c>
      <c r="F21" s="24"/>
    </row>
    <row r="22" spans="1:6" ht="16" customHeight="1" x14ac:dyDescent="0.35">
      <c r="A22" s="48">
        <v>18</v>
      </c>
      <c r="B22" s="8" t="str">
        <f>HYPERLINK("https://www.karger.com/journal/home/224164","Dermatology")</f>
        <v>Dermatology</v>
      </c>
      <c r="C22" s="23">
        <v>5.1970000000000001</v>
      </c>
      <c r="D22" s="2" t="s">
        <v>146</v>
      </c>
      <c r="E22" s="28" t="s">
        <v>904</v>
      </c>
      <c r="F22" s="24"/>
    </row>
    <row r="23" spans="1:6" ht="16" customHeight="1" x14ac:dyDescent="0.35">
      <c r="A23" s="48">
        <v>19</v>
      </c>
      <c r="B23" s="8" t="str">
        <f>HYPERLINK("https://home.liebertpub.com/publications/dermatitis/672/overview","Dermatitis")</f>
        <v>Dermatitis</v>
      </c>
      <c r="C23" s="23">
        <v>5.1849999999999996</v>
      </c>
      <c r="D23" s="2" t="s">
        <v>147</v>
      </c>
      <c r="E23" s="28" t="s">
        <v>197</v>
      </c>
      <c r="F23" s="24"/>
    </row>
    <row r="24" spans="1:6" ht="16" customHeight="1" x14ac:dyDescent="0.35">
      <c r="A24" s="48">
        <v>20</v>
      </c>
      <c r="B24" s="8" t="str">
        <f>HYPERLINK("https://onlinelibrary.wiley.com/journal/16000625","Experimental Dermatology")</f>
        <v>Experimental Dermatology</v>
      </c>
      <c r="C24" s="23">
        <v>4.5110000000000001</v>
      </c>
      <c r="D24" s="2" t="s">
        <v>153</v>
      </c>
      <c r="E24" s="28" t="s">
        <v>904</v>
      </c>
      <c r="F24" s="24"/>
    </row>
    <row r="25" spans="1:6" ht="16" customHeight="1" x14ac:dyDescent="0.35">
      <c r="A25" s="48">
        <v>21</v>
      </c>
      <c r="B25" s="2" t="str">
        <f>HYPERLINK("https://academic.oup.com/ced/pages/editorial-board","Clinical and Experimental Dermatology")</f>
        <v>Clinical and Experimental Dermatology</v>
      </c>
      <c r="C25" s="23">
        <v>4.4809999999999999</v>
      </c>
      <c r="D25" s="2" t="s">
        <v>1335</v>
      </c>
      <c r="E25" s="28" t="s">
        <v>904</v>
      </c>
      <c r="F25" s="24"/>
    </row>
    <row r="26" spans="1:6" ht="16" customHeight="1" x14ac:dyDescent="0.35">
      <c r="A26" s="48">
        <v>22</v>
      </c>
      <c r="B26" s="8" t="str">
        <f>HYPERLINK("https://medicaljournalssweden.se/actadv","Acta Dermato-Venereologica")</f>
        <v>Acta Dermato-Venereologica</v>
      </c>
      <c r="C26" s="23">
        <v>3.875</v>
      </c>
      <c r="D26" s="2" t="s">
        <v>150</v>
      </c>
      <c r="E26" s="28" t="s">
        <v>904</v>
      </c>
      <c r="F26" s="24"/>
    </row>
    <row r="27" spans="1:6" ht="16" customHeight="1" x14ac:dyDescent="0.35">
      <c r="A27" s="48">
        <v>23</v>
      </c>
      <c r="B27" s="8" t="str">
        <f>HYPERLINK("https://www.hindawi.com/journals/dth/","Dermatologic Therapy")</f>
        <v>Dermatologic Therapy</v>
      </c>
      <c r="C27" s="23">
        <v>3.8580000000000001</v>
      </c>
      <c r="D27" s="2" t="s">
        <v>627</v>
      </c>
      <c r="E27" s="28" t="s">
        <v>904</v>
      </c>
      <c r="F27" s="24"/>
    </row>
    <row r="28" spans="1:6" ht="16" customHeight="1" x14ac:dyDescent="0.35">
      <c r="A28" s="48">
        <v>24</v>
      </c>
      <c r="B28" s="8" t="str">
        <f>HYPERLINK("https://www.springer.com/journal/13555","Dermatology and Therapy")</f>
        <v>Dermatology and Therapy</v>
      </c>
      <c r="C28" s="23">
        <v>3.661</v>
      </c>
      <c r="D28" s="2" t="s">
        <v>159</v>
      </c>
      <c r="E28" s="28" t="s">
        <v>904</v>
      </c>
      <c r="F28" s="24"/>
    </row>
    <row r="29" spans="1:6" ht="16" customHeight="1" x14ac:dyDescent="0.35">
      <c r="A29" s="48">
        <v>25</v>
      </c>
      <c r="B29" s="8" t="str">
        <f>HYPERLINK("https://www.derm.theclinics.com/","Dermatologic Clinics")</f>
        <v>Dermatologic Clinics</v>
      </c>
      <c r="C29" s="23">
        <v>3.645</v>
      </c>
      <c r="D29" s="2" t="s">
        <v>160</v>
      </c>
      <c r="E29" s="28" t="s">
        <v>904</v>
      </c>
      <c r="F29" s="24"/>
    </row>
    <row r="30" spans="1:6" ht="16" customHeight="1" x14ac:dyDescent="0.35">
      <c r="A30" s="48">
        <v>26</v>
      </c>
      <c r="B30" s="8" t="str">
        <f>HYPERLINK("https://onlinelibrary.wiley.com/journal/13468138","Journal of Dermatology")</f>
        <v>Journal of Dermatology</v>
      </c>
      <c r="C30" s="23">
        <v>3.468</v>
      </c>
      <c r="D30" s="2" t="s">
        <v>151</v>
      </c>
      <c r="E30" s="28" t="s">
        <v>904</v>
      </c>
      <c r="F30" s="24"/>
    </row>
    <row r="31" spans="1:6" ht="16" customHeight="1" x14ac:dyDescent="0.35">
      <c r="A31" s="48">
        <v>27</v>
      </c>
      <c r="B31" s="8" t="str">
        <f>HYPERLINK("https://journals.lww.com/dermatologicsurgery/Pages/aboutthejournal.aspx","Dermatologic Surgery")</f>
        <v>Dermatologic Surgery</v>
      </c>
      <c r="C31" s="23">
        <v>3.3980000000000001</v>
      </c>
      <c r="D31" s="2" t="s">
        <v>191</v>
      </c>
      <c r="E31" s="28" t="s">
        <v>904</v>
      </c>
      <c r="F31" s="24"/>
    </row>
    <row r="32" spans="1:6" ht="16" customHeight="1" x14ac:dyDescent="0.35">
      <c r="A32" s="48">
        <v>28</v>
      </c>
      <c r="B32" s="8" t="str">
        <f>HYPERLINK("https://www.tandfonline.com/loi/ijdt20","Journal of Dermatological Treatment")</f>
        <v>Journal of Dermatological Treatment</v>
      </c>
      <c r="C32" s="23">
        <v>3.23</v>
      </c>
      <c r="D32" s="2" t="s">
        <v>157</v>
      </c>
      <c r="E32" s="28" t="s">
        <v>904</v>
      </c>
      <c r="F32" s="24"/>
    </row>
    <row r="33" spans="1:6" ht="16" customHeight="1" x14ac:dyDescent="0.35">
      <c r="A33" s="48">
        <v>29</v>
      </c>
      <c r="B33" s="8" t="str">
        <f>HYPERLINK("https://onlinelibrary.wiley.com/page/journal/13654632/homepage/editorialboard.html","International Journal of Dermatology")</f>
        <v>International Journal of Dermatology</v>
      </c>
      <c r="C33" s="23">
        <v>3.2040000000000002</v>
      </c>
      <c r="D33" s="2" t="s">
        <v>167</v>
      </c>
      <c r="E33" s="28" t="s">
        <v>904</v>
      </c>
      <c r="F33" s="24"/>
    </row>
    <row r="34" spans="1:6" ht="16" customHeight="1" x14ac:dyDescent="0.35">
      <c r="A34" s="48">
        <v>30</v>
      </c>
      <c r="B34" s="8" t="str">
        <f>HYPERLINK("https://www.springer.com/journal/403","Archives of Dermatological Research")</f>
        <v>Archives of Dermatological Research</v>
      </c>
      <c r="C34" s="23">
        <v>3.0329999999999999</v>
      </c>
      <c r="D34" s="2" t="s">
        <v>161</v>
      </c>
      <c r="E34" s="28" t="s">
        <v>904</v>
      </c>
      <c r="F34" s="24"/>
    </row>
    <row r="35" spans="1:6" ht="16" customHeight="1" x14ac:dyDescent="0.35">
      <c r="A35" s="48">
        <v>31</v>
      </c>
      <c r="B35" s="8" t="str">
        <f>HYPERLINK("https://www.karger.com/Journal/Home/224194","Skin Pharmacology and Physiology")</f>
        <v>Skin Pharmacology and Physiology</v>
      </c>
      <c r="C35" s="23">
        <v>3.0139999999999998</v>
      </c>
      <c r="D35" s="2" t="s">
        <v>155</v>
      </c>
      <c r="E35" s="28" t="s">
        <v>904</v>
      </c>
      <c r="F35" s="24"/>
    </row>
    <row r="36" spans="1:6" ht="16" customHeight="1" x14ac:dyDescent="0.35">
      <c r="A36" s="48">
        <v>32</v>
      </c>
      <c r="B36" s="8" t="str">
        <f>HYPERLINK("https://www.jle.com/en/revues/ejd/revue.phtml","European Journal of Dermatology")</f>
        <v>European Journal of Dermatology</v>
      </c>
      <c r="C36" s="23">
        <v>2.8050000000000002</v>
      </c>
      <c r="D36" s="2" t="s">
        <v>158</v>
      </c>
      <c r="E36" s="28" t="s">
        <v>904</v>
      </c>
      <c r="F36" s="24"/>
    </row>
    <row r="37" spans="1:6" ht="16" customHeight="1" x14ac:dyDescent="0.35">
      <c r="A37" s="48">
        <v>33</v>
      </c>
      <c r="B37" s="8" t="str">
        <f>HYPERLINK("https://www.journals.elsevier.com/clinics-in-dermatology","Clinics in Dermatology")</f>
        <v>Clinics in Dermatology</v>
      </c>
      <c r="C37" s="23">
        <v>2.7970000000000002</v>
      </c>
      <c r="D37" s="2" t="s">
        <v>154</v>
      </c>
      <c r="E37" s="28" t="s">
        <v>904</v>
      </c>
      <c r="F37" s="24"/>
    </row>
    <row r="38" spans="1:6" ht="16" customHeight="1" x14ac:dyDescent="0.35">
      <c r="A38" s="48">
        <v>34</v>
      </c>
      <c r="B38" s="8" t="str">
        <f>HYPERLINK("https://onlinelibrary.wiley.com/journal/16000846","Skin Research and Technology")</f>
        <v>Skin Research and Technology</v>
      </c>
      <c r="C38" s="23">
        <v>2.2400000000000002</v>
      </c>
      <c r="D38" s="2" t="s">
        <v>163</v>
      </c>
      <c r="E38" s="28" t="s">
        <v>904</v>
      </c>
      <c r="F38" s="24"/>
    </row>
    <row r="39" spans="1:6" ht="16" customHeight="1" x14ac:dyDescent="0.35">
      <c r="A39" s="48">
        <v>35</v>
      </c>
      <c r="B39" s="8" t="str">
        <f>HYPERLINK("https://journals.lww.com/ijwd/pages/aboutthejournal.aspx","International Journal of Women's Dermatology (IJWD)")</f>
        <v>International Journal of Women's Dermatology (IJWD)</v>
      </c>
      <c r="C39" s="23">
        <v>2.1</v>
      </c>
      <c r="D39" s="2" t="s">
        <v>192</v>
      </c>
      <c r="E39" s="28" t="s">
        <v>904</v>
      </c>
      <c r="F39" s="24"/>
    </row>
    <row r="40" spans="1:6" ht="16" customHeight="1" x14ac:dyDescent="0.35">
      <c r="A40" s="48">
        <v>36</v>
      </c>
      <c r="B40" s="8" t="str">
        <f>HYPERLINK("https://onlinelibrary.wiley.com/journal/15251470","Pediatric Dermatology")</f>
        <v>Pediatric Dermatology</v>
      </c>
      <c r="C40" s="23">
        <v>1.9970000000000001</v>
      </c>
      <c r="D40" s="2" t="s">
        <v>908</v>
      </c>
      <c r="E40" s="28" t="s">
        <v>911</v>
      </c>
      <c r="F40" s="24"/>
    </row>
    <row r="41" spans="1:6" ht="16" customHeight="1" x14ac:dyDescent="0.35">
      <c r="A41" s="48">
        <v>37</v>
      </c>
      <c r="B41" s="8" t="str">
        <f>HYPERLINK("https://www.termedia.pl/Journal/Advances_in_Dermatology_and_Allergology-7","Advances in Dermatology and Allergology")</f>
        <v>Advances in Dermatology and Allergology</v>
      </c>
      <c r="C41" s="23">
        <v>1.6639999999999999</v>
      </c>
      <c r="D41" s="2" t="s">
        <v>165</v>
      </c>
      <c r="E41" s="28" t="s">
        <v>904</v>
      </c>
      <c r="F41" s="24"/>
    </row>
    <row r="42" spans="1:6" ht="16" customHeight="1" x14ac:dyDescent="0.35">
      <c r="A42" s="48">
        <v>38</v>
      </c>
      <c r="B42" s="8" t="str">
        <f>HYPERLINK("https://jddonline.com/","Journal of Drugs In Dermatology")</f>
        <v>Journal of Drugs In Dermatology</v>
      </c>
      <c r="C42" s="23">
        <v>1.6080000000000001</v>
      </c>
      <c r="D42" s="2" t="s">
        <v>166</v>
      </c>
      <c r="E42" s="28" t="s">
        <v>904</v>
      </c>
      <c r="F42" s="24"/>
    </row>
    <row r="43" spans="1:6" ht="16" customHeight="1" x14ac:dyDescent="0.35">
      <c r="A43" s="48">
        <v>39</v>
      </c>
      <c r="B43" s="2" t="str">
        <f>HYPERLINK("https://onlinelibrary.wiley.com/journal/16000560","Journal of Cutaneous Pathology")</f>
        <v>Journal of Cutaneous Pathology</v>
      </c>
      <c r="C43" s="23">
        <v>1.458</v>
      </c>
      <c r="D43" s="2" t="s">
        <v>194</v>
      </c>
      <c r="E43" s="28" t="s">
        <v>904</v>
      </c>
      <c r="F43" s="24"/>
    </row>
    <row r="44" spans="1:6" ht="16" customHeight="1" x14ac:dyDescent="0.35">
      <c r="A44" s="48">
        <v>40</v>
      </c>
      <c r="B44" s="8" t="str">
        <f>HYPERLINK("http://www.dermsinica.org/aboutus.asp","Dermatologica Sinica")</f>
        <v>Dermatologica Sinica</v>
      </c>
      <c r="C44" s="23">
        <v>1.321</v>
      </c>
      <c r="D44" s="2" t="s">
        <v>193</v>
      </c>
      <c r="E44" s="28" t="s">
        <v>904</v>
      </c>
      <c r="F44" s="24"/>
    </row>
    <row r="45" spans="1:6" ht="16" customHeight="1" x14ac:dyDescent="0.35">
      <c r="A45" s="48">
        <v>41</v>
      </c>
      <c r="B45" s="8" t="str">
        <f>HYPERLINK("https://www.hindawi.com/journals/drp/","Dermatology Research and Practice")</f>
        <v>Dermatology Research and Practice</v>
      </c>
      <c r="C45" s="23">
        <v>0.54300000000000004</v>
      </c>
      <c r="D45" s="2" t="s">
        <v>162</v>
      </c>
      <c r="E45" s="28" t="s">
        <v>904</v>
      </c>
      <c r="F45" s="24"/>
    </row>
    <row r="46" spans="1:6" ht="16" customHeight="1" x14ac:dyDescent="0.35">
      <c r="A46" s="48">
        <v>42</v>
      </c>
      <c r="B46" s="8" t="str">
        <f>HYPERLINK("https://www.journals.elsevier.com/journal-of-investigative-dermatology-symposium-proceedings/editorial-board","Journal of Investigative Dermatology Symposium Proceedings")</f>
        <v>Journal of Investigative Dermatology Symposium Proceedings</v>
      </c>
      <c r="C46" s="23">
        <v>0.52700000000000002</v>
      </c>
      <c r="D46" s="2" t="s">
        <v>164</v>
      </c>
      <c r="E46" s="28" t="s">
        <v>904</v>
      </c>
      <c r="F46" s="24"/>
    </row>
    <row r="47" spans="1:6" ht="16" customHeight="1" x14ac:dyDescent="0.35">
      <c r="A47" s="48">
        <v>43</v>
      </c>
      <c r="B47" s="8" t="str">
        <f>HYPERLINK("https://www.alliedacademies.org/research-in-clinical-dermatology/","Research in Clinical Dermatology")</f>
        <v>Research in Clinical Dermatology</v>
      </c>
      <c r="C47" s="23">
        <v>0.45</v>
      </c>
      <c r="D47" s="2" t="s">
        <v>172</v>
      </c>
      <c r="E47" s="28" t="s">
        <v>904</v>
      </c>
      <c r="F47" s="24"/>
    </row>
    <row r="48" spans="1:6" ht="16" customHeight="1" x14ac:dyDescent="0.35">
      <c r="A48" s="48">
        <v>44</v>
      </c>
      <c r="B48" s="8" t="str">
        <f>HYPERLINK("https://www.walshmedicalmedia.com/dermatitis.html","Journal of Dermatitis")</f>
        <v>Journal of Dermatitis</v>
      </c>
      <c r="C48" s="23">
        <v>0.35</v>
      </c>
      <c r="D48" s="2" t="s">
        <v>168</v>
      </c>
      <c r="E48" s="28" t="s">
        <v>197</v>
      </c>
      <c r="F48" s="24"/>
    </row>
    <row r="49" spans="1:6" ht="16" customHeight="1" x14ac:dyDescent="0.35">
      <c r="A49" s="48">
        <v>45</v>
      </c>
      <c r="B49" s="8" t="str">
        <f>HYPERLINK("https://escholarship.org/uc/doj","Dermatology Online Journal")</f>
        <v>Dermatology Online Journal</v>
      </c>
      <c r="C49" s="23">
        <v>0.31</v>
      </c>
      <c r="D49" s="2" t="s">
        <v>171</v>
      </c>
      <c r="E49" s="28" t="s">
        <v>904</v>
      </c>
      <c r="F49" s="24"/>
    </row>
    <row r="50" spans="1:6" ht="16" customHeight="1" x14ac:dyDescent="0.35">
      <c r="A50" s="48">
        <v>46</v>
      </c>
      <c r="B50" s="8" t="str">
        <f>HYPERLINK("https://www.scitechnol.com/clinical-dermatology-research-journal.php","Clinical Dermatology Research Journal")</f>
        <v>Clinical Dermatology Research Journal</v>
      </c>
      <c r="C50" s="23">
        <v>0.3</v>
      </c>
      <c r="D50" s="2" t="s">
        <v>173</v>
      </c>
      <c r="E50" s="28" t="s">
        <v>904</v>
      </c>
      <c r="F50" s="24"/>
    </row>
    <row r="51" spans="1:6" ht="16" customHeight="1" x14ac:dyDescent="0.35">
      <c r="A51" s="48">
        <v>47</v>
      </c>
      <c r="B51" s="8" t="str">
        <f>HYPERLINK("https://www.karger.com/Journal/Home/239060","Case Reports in Dermatology")</f>
        <v>Case Reports in Dermatology</v>
      </c>
      <c r="C51" s="23">
        <v>0.29499999999999998</v>
      </c>
      <c r="D51" s="2" t="s">
        <v>170</v>
      </c>
      <c r="E51" s="28" t="s">
        <v>904</v>
      </c>
      <c r="F51" s="24"/>
    </row>
    <row r="52" spans="1:6" ht="16" customHeight="1" x14ac:dyDescent="0.35">
      <c r="A52" s="48">
        <v>48</v>
      </c>
      <c r="B52" s="8" t="str">
        <f>HYPERLINK("https://www.primescholars.com/clinical-pediatrics-dermatology.html","Clinical Pediatric Dermatology")</f>
        <v>Clinical Pediatric Dermatology</v>
      </c>
      <c r="C52" s="23">
        <v>0.11</v>
      </c>
      <c r="D52" s="2" t="s">
        <v>909</v>
      </c>
      <c r="E52" s="28" t="s">
        <v>911</v>
      </c>
      <c r="F52" s="24"/>
    </row>
    <row r="53" spans="1:6" ht="16" customHeight="1" x14ac:dyDescent="0.35">
      <c r="A53" s="48">
        <v>49</v>
      </c>
      <c r="B53" s="8" t="str">
        <f>HYPERLINK("https://www.sciencedirect.com/journal/piel","PIEL Continuing Education in Dermatology")</f>
        <v>PIEL Continuing Education in Dermatology</v>
      </c>
      <c r="C53" s="23">
        <v>0.11</v>
      </c>
      <c r="D53" s="2" t="s">
        <v>174</v>
      </c>
      <c r="E53" s="28" t="s">
        <v>904</v>
      </c>
      <c r="F53" s="24"/>
    </row>
    <row r="54" spans="1:6" ht="16" customHeight="1" x14ac:dyDescent="0.35">
      <c r="A54" s="48">
        <v>50</v>
      </c>
      <c r="B54" s="8" t="str">
        <f>HYPERLINK("https://www.ejpd.com/index.php/journal","European Journal of Pediatric Dermatology")</f>
        <v>European Journal of Pediatric Dermatology</v>
      </c>
      <c r="C54" s="23">
        <v>0.03</v>
      </c>
      <c r="D54" s="2" t="s">
        <v>910</v>
      </c>
      <c r="E54" s="28" t="s">
        <v>911</v>
      </c>
      <c r="F54" s="24"/>
    </row>
    <row r="55" spans="1:6" ht="15" customHeight="1" x14ac:dyDescent="0.35">
      <c r="A55" s="48">
        <v>51</v>
      </c>
      <c r="B55" s="8" t="str">
        <f>HYPERLINK("https://www.acta-apa.org/journals/acta-dermatovenerol-apa/static_pages/1","Acta Dermatovenerol APA")</f>
        <v>Acta Dermatovenerol APA</v>
      </c>
      <c r="C55" s="23" t="e">
        <v>#N/A</v>
      </c>
      <c r="D55" s="2" t="s">
        <v>189</v>
      </c>
      <c r="E55" s="28" t="s">
        <v>904</v>
      </c>
      <c r="F55" s="24"/>
    </row>
    <row r="56" spans="1:6" ht="15" customHeight="1" x14ac:dyDescent="0.35">
      <c r="A56" s="48">
        <v>52</v>
      </c>
      <c r="B56" s="8" t="str">
        <f>HYPERLINK("https://www.acpjournals.org/journal/aim/about-us","Annals of Internal Medicine")</f>
        <v>Annals of Internal Medicine</v>
      </c>
      <c r="C56" s="23" t="e">
        <v>#N/A</v>
      </c>
      <c r="D56" s="2" t="s">
        <v>626</v>
      </c>
      <c r="E56" s="28" t="s">
        <v>903</v>
      </c>
      <c r="F56" s="24"/>
    </row>
    <row r="57" spans="1:6" ht="15" customHeight="1" x14ac:dyDescent="0.35">
      <c r="A57" s="48">
        <v>53</v>
      </c>
      <c r="B57" s="8" t="str">
        <f>HYPERLINK("http://journalseek.net/cgi-bin/journalseek/journalsearch.cgi?field=issn&amp;query=1368-549X","British Journal of Dermatology Nursing")</f>
        <v>British Journal of Dermatology Nursing</v>
      </c>
      <c r="C57" s="23" t="e">
        <v>#N/A</v>
      </c>
      <c r="D57" s="2" t="s">
        <v>190</v>
      </c>
      <c r="E57" s="28" t="s">
        <v>904</v>
      </c>
      <c r="F57" s="24"/>
    </row>
    <row r="58" spans="1:6" ht="15" customHeight="1" x14ac:dyDescent="0.35">
      <c r="A58" s="48">
        <v>54</v>
      </c>
      <c r="B58" s="8" t="str">
        <f>HYPERLINK("https://www.hindawi.com/journals/cridm/","Case Reports in Dermatological Medicine")</f>
        <v>Case Reports in Dermatological Medicine</v>
      </c>
      <c r="C58" s="23" t="e">
        <v>#N/A</v>
      </c>
      <c r="D58" s="2" t="s">
        <v>175</v>
      </c>
      <c r="E58" s="28" t="s">
        <v>904</v>
      </c>
      <c r="F58" s="24"/>
    </row>
    <row r="59" spans="1:6" ht="15" customHeight="1" x14ac:dyDescent="0.35">
      <c r="A59" s="48">
        <v>55</v>
      </c>
      <c r="B59" s="8" t="str">
        <f>HYPERLINK("https://www.springer.com/journal/13671","Current Dermatology Reports")</f>
        <v>Current Dermatology Reports</v>
      </c>
      <c r="C59" s="23" t="e">
        <v>#N/A</v>
      </c>
      <c r="D59" s="2" t="s">
        <v>169</v>
      </c>
      <c r="E59" s="28" t="s">
        <v>904</v>
      </c>
      <c r="F59" s="24"/>
    </row>
    <row r="60" spans="1:6" ht="15" customHeight="1" x14ac:dyDescent="0.35">
      <c r="A60" s="48">
        <v>56</v>
      </c>
      <c r="B60" s="8" t="str">
        <f>HYPERLINK("https://www.mdpi.com/journal/dermato","Dermato")</f>
        <v>Dermato</v>
      </c>
      <c r="C60" s="23" t="e">
        <v>#N/A</v>
      </c>
      <c r="D60" s="2" t="s">
        <v>176</v>
      </c>
      <c r="E60" s="28" t="s">
        <v>904</v>
      </c>
      <c r="F60" s="24"/>
    </row>
    <row r="61" spans="1:6" ht="15" customHeight="1" x14ac:dyDescent="0.35">
      <c r="A61" s="48">
        <v>57</v>
      </c>
      <c r="B61" s="8" t="str">
        <f>HYPERLINK("https://onlinelibrary.wiley.com/journal/26377489","Dermatological Reviews")</f>
        <v>Dermatological Reviews</v>
      </c>
      <c r="C61" s="23" t="e">
        <v>#N/A</v>
      </c>
      <c r="D61" s="2" t="s">
        <v>177</v>
      </c>
      <c r="E61" s="28" t="s">
        <v>904</v>
      </c>
      <c r="F61" s="24"/>
    </row>
    <row r="62" spans="1:6" ht="15" customHeight="1" x14ac:dyDescent="0.35">
      <c r="A62" s="48">
        <v>58</v>
      </c>
      <c r="B62" s="8" t="str">
        <f>HYPERLINK("https://scholars.direct/journal.php?jid=dermatology","Dermatology Archives")</f>
        <v>Dermatology Archives</v>
      </c>
      <c r="C62" s="23" t="e">
        <v>#N/A</v>
      </c>
      <c r="D62" s="2" t="s">
        <v>178</v>
      </c>
      <c r="E62" s="28" t="s">
        <v>904</v>
      </c>
      <c r="F62" s="24"/>
    </row>
    <row r="63" spans="1:6" ht="15" customHeight="1" x14ac:dyDescent="0.35">
      <c r="A63" s="48">
        <v>59</v>
      </c>
      <c r="B63" s="8" t="str">
        <f>HYPERLINK("https://www.iomcworld.com/dermatology-case-reports.html","Dermatology Case Reports")</f>
        <v>Dermatology Case Reports</v>
      </c>
      <c r="C63" s="23" t="e">
        <v>#N/A</v>
      </c>
      <c r="D63" s="2" t="s">
        <v>179</v>
      </c>
      <c r="E63" s="28" t="s">
        <v>904</v>
      </c>
      <c r="F63" s="24"/>
    </row>
    <row r="64" spans="1:6" ht="15" customHeight="1" x14ac:dyDescent="0.35">
      <c r="A64" s="48">
        <v>60</v>
      </c>
      <c r="B64" s="8" t="str">
        <f>HYPERLINK("https://www.scitcentral.com/journals/19","Dermatology Clinics and Research")</f>
        <v>Dermatology Clinics and Research</v>
      </c>
      <c r="C64" s="23" t="e">
        <v>#N/A</v>
      </c>
      <c r="D64" s="2" t="s">
        <v>180</v>
      </c>
      <c r="E64" s="28" t="s">
        <v>904</v>
      </c>
      <c r="F64" s="24"/>
    </row>
    <row r="65" spans="1:6" ht="15" customHeight="1" x14ac:dyDescent="0.35">
      <c r="A65" s="48">
        <v>61</v>
      </c>
      <c r="B65" s="8" t="str">
        <f>HYPERLINK("http://www.dermatologyinpractice.co.uk/","Dermatology in Practice")</f>
        <v>Dermatology in Practice</v>
      </c>
      <c r="C65" s="23" t="e">
        <v>#N/A</v>
      </c>
      <c r="D65" s="2" t="s">
        <v>181</v>
      </c>
      <c r="E65" s="28" t="s">
        <v>904</v>
      </c>
      <c r="F65" s="24"/>
    </row>
    <row r="66" spans="1:6" ht="15" customHeight="1" x14ac:dyDescent="0.35">
      <c r="A66" s="48">
        <v>62</v>
      </c>
      <c r="B66" s="8" t="str">
        <f>HYPERLINK("https://dpcj.org/index.php/dpc","Dermatology Practical &amp; Conceptual")</f>
        <v>Dermatology Practical &amp; Conceptual</v>
      </c>
      <c r="C66" s="23" t="e">
        <v>#N/A</v>
      </c>
      <c r="D66" s="2" t="s">
        <v>182</v>
      </c>
      <c r="E66" s="28" t="s">
        <v>904</v>
      </c>
      <c r="F66" s="24"/>
    </row>
    <row r="67" spans="1:6" ht="15" customHeight="1" x14ac:dyDescent="0.35">
      <c r="A67" s="48">
        <v>63</v>
      </c>
      <c r="B67" s="8" t="str">
        <f>HYPERLINK("https://www.tandfonline.com/toc/ierg20/current","Expert Review of Dermatology")</f>
        <v>Expert Review of Dermatology</v>
      </c>
      <c r="C67" s="23" t="e">
        <v>#N/A</v>
      </c>
      <c r="D67" s="2" t="s">
        <v>183</v>
      </c>
      <c r="E67" s="28" t="s">
        <v>904</v>
      </c>
      <c r="F67" s="24"/>
    </row>
    <row r="68" spans="1:6" ht="15" customHeight="1" x14ac:dyDescent="0.35">
      <c r="A68" s="48">
        <v>64</v>
      </c>
      <c r="B68" s="8" t="str">
        <f>HYPERLINK("https://www.sciencedirect.com/journal/jaad-international/about/aims-and-scope","JAAD International")</f>
        <v>JAAD International</v>
      </c>
      <c r="C68" s="23" t="e">
        <v>#N/A</v>
      </c>
      <c r="D68" s="2" t="s">
        <v>905</v>
      </c>
      <c r="E68" s="28" t="s">
        <v>904</v>
      </c>
      <c r="F68" s="24"/>
    </row>
    <row r="69" spans="1:6" ht="15" customHeight="1" x14ac:dyDescent="0.35">
      <c r="A69" s="48">
        <v>65</v>
      </c>
      <c r="B69" s="8" t="str">
        <f>HYPERLINK("https://www.jidinnovations.org/","JID Innovations")</f>
        <v>JID Innovations</v>
      </c>
      <c r="C69" s="23" t="e">
        <v>#N/A</v>
      </c>
      <c r="D69" s="2" t="s">
        <v>195</v>
      </c>
      <c r="E69" s="28" t="s">
        <v>904</v>
      </c>
      <c r="F69" s="24"/>
    </row>
    <row r="70" spans="1:6" ht="15" customHeight="1" x14ac:dyDescent="0.35">
      <c r="A70" s="48">
        <v>66</v>
      </c>
      <c r="B70" s="8" t="str">
        <f>HYPERLINK("https://www.longdom.org/clinical-experimental-dermatology-research.html","Journal of Clinical &amp; Experimental Dermatology Research")</f>
        <v>Journal of Clinical &amp; Experimental Dermatology Research</v>
      </c>
      <c r="C70" s="23" t="e">
        <v>#N/A</v>
      </c>
      <c r="D70" s="2" t="s">
        <v>184</v>
      </c>
      <c r="E70" s="28" t="s">
        <v>904</v>
      </c>
      <c r="F70" s="24"/>
    </row>
    <row r="71" spans="1:6" ht="15" customHeight="1" x14ac:dyDescent="0.35">
      <c r="A71" s="48">
        <v>67</v>
      </c>
      <c r="B71" s="8" t="str">
        <f>HYPERLINK("https://www.hilarispublisher.com/dermatology-dermatologic-diseases.html","Journal of Dermatology and Dermatologic Diseases")</f>
        <v>Journal of Dermatology and Dermatologic Diseases</v>
      </c>
      <c r="C71" s="23" t="e">
        <v>#N/A</v>
      </c>
      <c r="D71" s="2" t="s">
        <v>152</v>
      </c>
      <c r="E71" s="28" t="s">
        <v>904</v>
      </c>
      <c r="F71" s="24"/>
    </row>
    <row r="72" spans="1:6" ht="15" customHeight="1" x14ac:dyDescent="0.35">
      <c r="A72" s="48">
        <v>68</v>
      </c>
      <c r="B72" s="8" t="str">
        <f>HYPERLINK("https://skin-diseases-and-skin-care.imedpub.com/","Skin Diseases &amp; Skin Care")</f>
        <v>Skin Diseases &amp; Skin Care</v>
      </c>
      <c r="C72" s="23" t="e">
        <v>#N/A</v>
      </c>
      <c r="D72" s="2" t="s">
        <v>185</v>
      </c>
      <c r="E72" s="28" t="s">
        <v>904</v>
      </c>
      <c r="F72" s="24"/>
    </row>
    <row r="73" spans="1:6" ht="15" customHeight="1" x14ac:dyDescent="0.35">
      <c r="A73" s="48">
        <v>69</v>
      </c>
      <c r="B73" s="8" t="str">
        <f>HYPERLINK("https://onlinelibrary.wiley.com/journal/2690442x","Skin Health and Disease")</f>
        <v>Skin Health and Disease</v>
      </c>
      <c r="C73" s="23" t="e">
        <v>#N/A</v>
      </c>
      <c r="D73" s="2" t="s">
        <v>156</v>
      </c>
      <c r="E73" s="28" t="s">
        <v>904</v>
      </c>
      <c r="F73" s="24"/>
    </row>
    <row r="74" spans="1:6" ht="15" customHeight="1" x14ac:dyDescent="0.35">
      <c r="A74" s="48">
        <v>70</v>
      </c>
      <c r="B74" s="8" t="str">
        <f>HYPERLINK("https://skinmedjournal.com/","SkinMed Journal")</f>
        <v>SkinMed Journal</v>
      </c>
      <c r="C74" s="23" t="e">
        <v>#N/A</v>
      </c>
      <c r="D74" s="2" t="s">
        <v>186</v>
      </c>
      <c r="E74" s="28" t="s">
        <v>904</v>
      </c>
      <c r="F74" s="24"/>
    </row>
    <row r="75" spans="1:6" ht="15" customHeight="1" x14ac:dyDescent="0.35">
      <c r="A75" s="48">
        <v>71</v>
      </c>
      <c r="B75" s="8" t="str">
        <f>HYPERLINK("https://www.springer.com/journal/105","The Dermatologist")</f>
        <v>The Dermatologist</v>
      </c>
      <c r="C75" s="23" t="e">
        <v>#N/A</v>
      </c>
      <c r="D75" s="2" t="s">
        <v>187</v>
      </c>
      <c r="E75" s="28" t="s">
        <v>904</v>
      </c>
      <c r="F75" s="24"/>
    </row>
    <row r="76" spans="1:6" ht="15" customHeight="1" x14ac:dyDescent="0.35">
      <c r="A76" s="48">
        <v>72</v>
      </c>
      <c r="B76" s="8" t="str">
        <f>HYPERLINK("https://www.wjgnet.com/2218-6190","World Journal of Dermatology")</f>
        <v>World Journal of Dermatology</v>
      </c>
      <c r="C76" s="23" t="e">
        <v>#N/A</v>
      </c>
      <c r="D76" s="2" t="s">
        <v>188</v>
      </c>
      <c r="E76" s="28" t="s">
        <v>904</v>
      </c>
      <c r="F76" s="24"/>
    </row>
  </sheetData>
  <autoFilter ref="A4:F4"/>
  <sortState ref="A5:F76">
    <sortCondition descending="1" ref="C5:C76"/>
    <sortCondition ref="B5:B76"/>
  </sortState>
  <mergeCells count="2">
    <mergeCell ref="A1:F1"/>
    <mergeCell ref="A2:F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D13" r:id="rId9"/>
    <hyperlink ref="D14" r:id="rId10"/>
    <hyperlink ref="D15" r:id="rId11"/>
    <hyperlink ref="D16" r:id="rId12"/>
    <hyperlink ref="D17" r:id="rId13"/>
    <hyperlink ref="D18" r:id="rId14"/>
    <hyperlink ref="D19" r:id="rId15"/>
    <hyperlink ref="D20" r:id="rId16"/>
    <hyperlink ref="D21" r:id="rId17"/>
    <hyperlink ref="D22" r:id="rId18"/>
    <hyperlink ref="D23" r:id="rId19"/>
    <hyperlink ref="D24" r:id="rId20"/>
    <hyperlink ref="D26" r:id="rId21"/>
    <hyperlink ref="D27" r:id="rId22"/>
    <hyperlink ref="D28" r:id="rId23"/>
    <hyperlink ref="D29" r:id="rId24"/>
    <hyperlink ref="D30" r:id="rId25"/>
    <hyperlink ref="D31" r:id="rId26"/>
    <hyperlink ref="D32" r:id="rId27"/>
    <hyperlink ref="D33" r:id="rId28"/>
    <hyperlink ref="D34" r:id="rId29"/>
    <hyperlink ref="D35" r:id="rId30"/>
    <hyperlink ref="D36" r:id="rId31"/>
    <hyperlink ref="D37" r:id="rId32"/>
    <hyperlink ref="D38" r:id="rId33"/>
    <hyperlink ref="D39" r:id="rId34"/>
    <hyperlink ref="D41" r:id="rId35"/>
    <hyperlink ref="D42" r:id="rId36"/>
    <hyperlink ref="D43" r:id="rId37"/>
    <hyperlink ref="D44" r:id="rId38"/>
    <hyperlink ref="D45" r:id="rId39"/>
    <hyperlink ref="D46" r:id="rId40"/>
    <hyperlink ref="D47" r:id="rId41"/>
    <hyperlink ref="D48" r:id="rId42"/>
    <hyperlink ref="D49" r:id="rId43"/>
    <hyperlink ref="D50" r:id="rId44"/>
    <hyperlink ref="D51" r:id="rId45"/>
    <hyperlink ref="D53" r:id="rId46"/>
    <hyperlink ref="D55" r:id="rId47"/>
    <hyperlink ref="D56" r:id="rId48"/>
    <hyperlink ref="D57" r:id="rId49"/>
    <hyperlink ref="D58" r:id="rId50"/>
    <hyperlink ref="D59" r:id="rId51"/>
    <hyperlink ref="D60" r:id="rId52"/>
    <hyperlink ref="D61" r:id="rId53"/>
    <hyperlink ref="D62" r:id="rId54"/>
    <hyperlink ref="D63" r:id="rId55"/>
    <hyperlink ref="D64" r:id="rId56"/>
    <hyperlink ref="D65" r:id="rId57"/>
    <hyperlink ref="D66" r:id="rId58"/>
    <hyperlink ref="D67" r:id="rId59"/>
    <hyperlink ref="D69" r:id="rId60"/>
    <hyperlink ref="D70" r:id="rId61"/>
    <hyperlink ref="D71" r:id="rId62"/>
    <hyperlink ref="D72" r:id="rId63"/>
    <hyperlink ref="D73" r:id="rId64"/>
    <hyperlink ref="D74" r:id="rId65"/>
    <hyperlink ref="D75" r:id="rId66"/>
    <hyperlink ref="D76" r:id="rId67"/>
    <hyperlink ref="D68" r:id="rId68"/>
    <hyperlink ref="D40" r:id="rId69"/>
    <hyperlink ref="D52" r:id="rId70"/>
    <hyperlink ref="D54" r:id="rId71"/>
    <hyperlink ref="D25" r:id="rId72"/>
  </hyperlinks>
  <pageMargins left="0.7" right="0.7" top="0.75" bottom="0.75" header="0" footer="0"/>
  <pageSetup orientation="landscape" r:id="rId7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7"/>
  <sheetViews>
    <sheetView showGridLines="0" zoomScaleNormal="100" workbookViewId="0">
      <pane xSplit="2" ySplit="4" topLeftCell="C5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C5" sqref="C5"/>
    </sheetView>
  </sheetViews>
  <sheetFormatPr defaultColWidth="13.1796875" defaultRowHeight="15" customHeight="1" x14ac:dyDescent="0.3"/>
  <cols>
    <col min="1" max="1" width="6.1796875" style="12" customWidth="1"/>
    <col min="2" max="2" width="50.81640625" style="12" customWidth="1"/>
    <col min="3" max="4" width="15.81640625" style="12" customWidth="1"/>
    <col min="5" max="5" width="23.81640625" style="12" customWidth="1"/>
    <col min="6" max="6" width="25.81640625" style="12" customWidth="1"/>
    <col min="7" max="7" width="21.453125" style="12" customWidth="1"/>
    <col min="8" max="8" width="18.1796875" style="12" customWidth="1"/>
    <col min="9" max="16384" width="13.1796875" style="12"/>
  </cols>
  <sheetData>
    <row r="1" spans="1:8" ht="24.75" customHeight="1" x14ac:dyDescent="0.3">
      <c r="A1" s="84" t="s">
        <v>0</v>
      </c>
      <c r="B1" s="85"/>
      <c r="C1" s="85"/>
      <c r="D1" s="85"/>
      <c r="E1" s="85"/>
      <c r="F1" s="85"/>
      <c r="G1" s="85"/>
      <c r="H1" s="86"/>
    </row>
    <row r="2" spans="1:8" ht="15" customHeight="1" x14ac:dyDescent="0.3">
      <c r="A2" s="87" t="s">
        <v>1</v>
      </c>
      <c r="B2" s="88"/>
      <c r="C2" s="88"/>
      <c r="D2" s="88"/>
      <c r="E2" s="88"/>
      <c r="F2" s="88"/>
      <c r="G2" s="88"/>
      <c r="H2" s="89"/>
    </row>
    <row r="3" spans="1:8" ht="15" customHeight="1" x14ac:dyDescent="0.3">
      <c r="A3" s="90"/>
      <c r="B3" s="91"/>
      <c r="C3" s="91"/>
      <c r="D3" s="91"/>
      <c r="E3" s="91"/>
      <c r="F3" s="91"/>
      <c r="G3" s="91"/>
      <c r="H3" s="92"/>
    </row>
    <row r="4" spans="1:8" ht="28.5" customHeight="1" x14ac:dyDescent="0.3">
      <c r="A4" s="1" t="s">
        <v>14</v>
      </c>
      <c r="B4" s="13" t="s">
        <v>25</v>
      </c>
      <c r="C4" s="1" t="s">
        <v>19</v>
      </c>
      <c r="D4" s="1" t="s">
        <v>20</v>
      </c>
      <c r="E4" s="1" t="s">
        <v>29</v>
      </c>
      <c r="F4" s="1" t="s">
        <v>16</v>
      </c>
      <c r="G4" s="27" t="s">
        <v>902</v>
      </c>
      <c r="H4" s="13" t="s">
        <v>3</v>
      </c>
    </row>
    <row r="5" spans="1:8" s="18" customFormat="1" ht="16" customHeight="1" x14ac:dyDescent="0.25">
      <c r="A5" s="14">
        <v>1</v>
      </c>
      <c r="B5" s="15" t="str">
        <f>HYPERLINK("https://belfasttrust.hscni.net/","Belfast HSC Trust")</f>
        <v>Belfast HSC Trust</v>
      </c>
      <c r="C5" s="20" t="s">
        <v>31</v>
      </c>
      <c r="D5" s="21" t="s">
        <v>68</v>
      </c>
      <c r="E5" s="21" t="s">
        <v>68</v>
      </c>
      <c r="F5" s="2" t="s">
        <v>85</v>
      </c>
      <c r="G5" s="28" t="s">
        <v>903</v>
      </c>
      <c r="H5" s="17"/>
    </row>
    <row r="6" spans="1:8" s="18" customFormat="1" ht="16" customHeight="1" x14ac:dyDescent="0.25">
      <c r="A6" s="14">
        <v>2</v>
      </c>
      <c r="B6" s="15" t="str">
        <f>HYPERLINK("https://online.hscni.net/lcgs/belfast/","Belfast Local Commissioning Group")</f>
        <v>Belfast Local Commissioning Group</v>
      </c>
      <c r="C6" s="20" t="s">
        <v>31</v>
      </c>
      <c r="D6" s="21" t="s">
        <v>68</v>
      </c>
      <c r="E6" s="21" t="s">
        <v>68</v>
      </c>
      <c r="F6" s="2" t="s">
        <v>549</v>
      </c>
      <c r="G6" s="28" t="s">
        <v>903</v>
      </c>
      <c r="H6" s="17"/>
    </row>
    <row r="7" spans="1:8" s="18" customFormat="1" ht="16" customHeight="1" x14ac:dyDescent="0.25">
      <c r="A7" s="14">
        <v>3</v>
      </c>
      <c r="B7" s="15" t="str">
        <f>HYPERLINK("https://online.hscni.net/","HSCB - Health and Social Care Board")</f>
        <v>HSCB - Health and Social Care Board</v>
      </c>
      <c r="C7" s="20" t="s">
        <v>31</v>
      </c>
      <c r="D7" s="21" t="s">
        <v>68</v>
      </c>
      <c r="E7" s="21" t="s">
        <v>68</v>
      </c>
      <c r="F7" s="2" t="s">
        <v>550</v>
      </c>
      <c r="G7" s="28" t="s">
        <v>903</v>
      </c>
      <c r="H7" s="17"/>
    </row>
    <row r="8" spans="1:8" s="18" customFormat="1" ht="16" customHeight="1" x14ac:dyDescent="0.25">
      <c r="A8" s="14">
        <v>4</v>
      </c>
      <c r="B8" s="15" t="str">
        <f>HYPERLINK("https://niformulary.hscni.net/about-us/prescribing-guidance-editorial-group-meeting-dates/","NI Prescribing Guidance Editorial Group")</f>
        <v>NI Prescribing Guidance Editorial Group</v>
      </c>
      <c r="C8" s="20" t="s">
        <v>31</v>
      </c>
      <c r="D8" s="21" t="s">
        <v>68</v>
      </c>
      <c r="E8" s="21" t="s">
        <v>68</v>
      </c>
      <c r="F8" s="2" t="s">
        <v>86</v>
      </c>
      <c r="G8" s="28" t="s">
        <v>903</v>
      </c>
      <c r="H8" s="17"/>
    </row>
    <row r="9" spans="1:8" s="18" customFormat="1" ht="16" customHeight="1" x14ac:dyDescent="0.25">
      <c r="A9" s="14">
        <v>5</v>
      </c>
      <c r="B9" s="15" t="str">
        <f>HYPERLINK("https://www.northerntrust.hscni.net/","Northern HSC Trust")</f>
        <v>Northern HSC Trust</v>
      </c>
      <c r="C9" s="20" t="s">
        <v>31</v>
      </c>
      <c r="D9" s="21" t="s">
        <v>68</v>
      </c>
      <c r="E9" s="21" t="s">
        <v>68</v>
      </c>
      <c r="F9" s="2" t="s">
        <v>87</v>
      </c>
      <c r="G9" s="28" t="s">
        <v>903</v>
      </c>
      <c r="H9" s="17"/>
    </row>
    <row r="10" spans="1:8" s="18" customFormat="1" ht="16" customHeight="1" x14ac:dyDescent="0.25">
      <c r="A10" s="14">
        <v>6</v>
      </c>
      <c r="B10" s="15" t="str">
        <f>HYPERLINK("https://online.hscni.net/lcgs/northern/","Northern LCG")</f>
        <v>Northern LCG</v>
      </c>
      <c r="C10" s="20" t="s">
        <v>31</v>
      </c>
      <c r="D10" s="21" t="s">
        <v>68</v>
      </c>
      <c r="E10" s="21" t="s">
        <v>68</v>
      </c>
      <c r="F10" s="2" t="s">
        <v>551</v>
      </c>
      <c r="G10" s="28" t="s">
        <v>903</v>
      </c>
      <c r="H10" s="17"/>
    </row>
    <row r="11" spans="1:8" s="18" customFormat="1" ht="16" customHeight="1" x14ac:dyDescent="0.25">
      <c r="A11" s="14">
        <v>7</v>
      </c>
      <c r="B11" s="15" t="str">
        <f>HYPERLINK("http://www.setrust.hscni.net/","South Eastern HSC Trust")</f>
        <v>South Eastern HSC Trust</v>
      </c>
      <c r="C11" s="20" t="s">
        <v>31</v>
      </c>
      <c r="D11" s="21" t="s">
        <v>68</v>
      </c>
      <c r="E11" s="21" t="s">
        <v>68</v>
      </c>
      <c r="F11" s="2" t="s">
        <v>88</v>
      </c>
      <c r="G11" s="28" t="s">
        <v>903</v>
      </c>
      <c r="H11" s="17"/>
    </row>
    <row r="12" spans="1:8" s="18" customFormat="1" ht="16" customHeight="1" x14ac:dyDescent="0.25">
      <c r="A12" s="14">
        <v>8</v>
      </c>
      <c r="B12" s="15" t="str">
        <f>HYPERLINK("https://online.hscni.net/lcgs/south-eastern/","South Eastern LCG")</f>
        <v>South Eastern LCG</v>
      </c>
      <c r="C12" s="20" t="s">
        <v>31</v>
      </c>
      <c r="D12" s="21" t="s">
        <v>68</v>
      </c>
      <c r="E12" s="21" t="s">
        <v>68</v>
      </c>
      <c r="F12" s="2" t="s">
        <v>552</v>
      </c>
      <c r="G12" s="28" t="s">
        <v>903</v>
      </c>
      <c r="H12" s="17"/>
    </row>
    <row r="13" spans="1:8" s="18" customFormat="1" ht="16" customHeight="1" x14ac:dyDescent="0.25">
      <c r="A13" s="14">
        <v>9</v>
      </c>
      <c r="B13" s="15" t="str">
        <f>HYPERLINK("https://southerntrust.hscni.net/","Southern HSC Trust")</f>
        <v>Southern HSC Trust</v>
      </c>
      <c r="C13" s="20" t="s">
        <v>31</v>
      </c>
      <c r="D13" s="21" t="s">
        <v>68</v>
      </c>
      <c r="E13" s="21" t="s">
        <v>68</v>
      </c>
      <c r="F13" s="2" t="s">
        <v>89</v>
      </c>
      <c r="G13" s="28" t="s">
        <v>903</v>
      </c>
      <c r="H13" s="17"/>
    </row>
    <row r="14" spans="1:8" s="18" customFormat="1" ht="16" customHeight="1" x14ac:dyDescent="0.25">
      <c r="A14" s="14">
        <v>10</v>
      </c>
      <c r="B14" s="15" t="str">
        <f>HYPERLINK("https://online.hscni.net/lcgs/southern/","Southern LCG")</f>
        <v>Southern LCG</v>
      </c>
      <c r="C14" s="20" t="s">
        <v>31</v>
      </c>
      <c r="D14" s="21" t="s">
        <v>68</v>
      </c>
      <c r="E14" s="21" t="s">
        <v>68</v>
      </c>
      <c r="F14" s="2" t="s">
        <v>553</v>
      </c>
      <c r="G14" s="28" t="s">
        <v>903</v>
      </c>
      <c r="H14" s="17"/>
    </row>
    <row r="15" spans="1:8" s="18" customFormat="1" ht="16" customHeight="1" x14ac:dyDescent="0.25">
      <c r="A15" s="14">
        <v>11</v>
      </c>
      <c r="B15" s="15" t="str">
        <f>HYPERLINK("https://westerntrust.hscni.net/","Western HSC Trust")</f>
        <v>Western HSC Trust</v>
      </c>
      <c r="C15" s="20" t="s">
        <v>31</v>
      </c>
      <c r="D15" s="21" t="s">
        <v>68</v>
      </c>
      <c r="E15" s="21" t="s">
        <v>68</v>
      </c>
      <c r="F15" s="2" t="s">
        <v>90</v>
      </c>
      <c r="G15" s="28" t="s">
        <v>903</v>
      </c>
      <c r="H15" s="17"/>
    </row>
    <row r="16" spans="1:8" s="18" customFormat="1" ht="16" customHeight="1" x14ac:dyDescent="0.25">
      <c r="A16" s="14">
        <v>12</v>
      </c>
      <c r="B16" s="15" t="str">
        <f>HYPERLINK("https://online.hscni.net/lcgs/western/","Western LCG")</f>
        <v>Western LCG</v>
      </c>
      <c r="C16" s="20" t="s">
        <v>31</v>
      </c>
      <c r="D16" s="21" t="s">
        <v>68</v>
      </c>
      <c r="E16" s="21" t="s">
        <v>68</v>
      </c>
      <c r="F16" s="2" t="s">
        <v>554</v>
      </c>
      <c r="G16" s="28" t="s">
        <v>903</v>
      </c>
      <c r="H16" s="17"/>
    </row>
    <row r="17" spans="1:8" s="18" customFormat="1" ht="16" customHeight="1" x14ac:dyDescent="0.25">
      <c r="A17" s="14">
        <v>13</v>
      </c>
      <c r="B17" s="15" t="str">
        <f>HYPERLINK("http://www.nhsaaa.net/","Scottish Health Board - NHS Ayrshire and Arran")</f>
        <v>Scottish Health Board - NHS Ayrshire and Arran</v>
      </c>
      <c r="C17" s="20" t="s">
        <v>31</v>
      </c>
      <c r="D17" s="21" t="s">
        <v>33</v>
      </c>
      <c r="E17" s="21" t="s">
        <v>33</v>
      </c>
      <c r="F17" s="2" t="s">
        <v>91</v>
      </c>
      <c r="G17" s="28" t="s">
        <v>903</v>
      </c>
      <c r="H17" s="17"/>
    </row>
    <row r="18" spans="1:8" s="18" customFormat="1" ht="16" customHeight="1" x14ac:dyDescent="0.25">
      <c r="A18" s="14">
        <v>14</v>
      </c>
      <c r="B18" s="15" t="str">
        <f>HYPERLINK("http://www.nhsborders.scot.nhs.uk/patients-and-visitors/","Scottish Health Board - NHS Borders")</f>
        <v>Scottish Health Board - NHS Borders</v>
      </c>
      <c r="C18" s="20" t="s">
        <v>31</v>
      </c>
      <c r="D18" s="21" t="s">
        <v>33</v>
      </c>
      <c r="E18" s="21" t="s">
        <v>33</v>
      </c>
      <c r="F18" s="2" t="s">
        <v>92</v>
      </c>
      <c r="G18" s="28" t="s">
        <v>903</v>
      </c>
      <c r="H18" s="17"/>
    </row>
    <row r="19" spans="1:8" s="18" customFormat="1" ht="16" customHeight="1" x14ac:dyDescent="0.25">
      <c r="A19" s="14">
        <v>15</v>
      </c>
      <c r="B19" s="15" t="str">
        <f>HYPERLINK("https://www.nhsdg.co.uk/","Scottish Health Board - NHS Dumfries and Galloway")</f>
        <v>Scottish Health Board - NHS Dumfries and Galloway</v>
      </c>
      <c r="C19" s="20" t="s">
        <v>31</v>
      </c>
      <c r="D19" s="21" t="s">
        <v>33</v>
      </c>
      <c r="E19" s="21" t="s">
        <v>33</v>
      </c>
      <c r="F19" s="2" t="s">
        <v>93</v>
      </c>
      <c r="G19" s="28" t="s">
        <v>903</v>
      </c>
      <c r="H19" s="17"/>
    </row>
    <row r="20" spans="1:8" s="18" customFormat="1" ht="16" customHeight="1" x14ac:dyDescent="0.25">
      <c r="A20" s="14">
        <v>16</v>
      </c>
      <c r="B20" s="15" t="str">
        <f>HYPERLINK("http://www.nhsfife.org","Scottish Health Board - NHS Fife")</f>
        <v>Scottish Health Board - NHS Fife</v>
      </c>
      <c r="C20" s="20" t="s">
        <v>31</v>
      </c>
      <c r="D20" s="21" t="s">
        <v>33</v>
      </c>
      <c r="E20" s="21" t="s">
        <v>33</v>
      </c>
      <c r="F20" s="2" t="s">
        <v>94</v>
      </c>
      <c r="G20" s="28" t="s">
        <v>903</v>
      </c>
      <c r="H20" s="17"/>
    </row>
    <row r="21" spans="1:8" s="18" customFormat="1" ht="16" customHeight="1" x14ac:dyDescent="0.25">
      <c r="A21" s="14">
        <v>17</v>
      </c>
      <c r="B21" s="15" t="str">
        <f>HYPERLINK("http://www.nhsforthvalley.com","Scottish Health Board - NHS Forth Valley")</f>
        <v>Scottish Health Board - NHS Forth Valley</v>
      </c>
      <c r="C21" s="20" t="s">
        <v>31</v>
      </c>
      <c r="D21" s="21" t="s">
        <v>33</v>
      </c>
      <c r="E21" s="21" t="s">
        <v>33</v>
      </c>
      <c r="F21" s="2" t="s">
        <v>95</v>
      </c>
      <c r="G21" s="28" t="s">
        <v>903</v>
      </c>
      <c r="H21" s="17"/>
    </row>
    <row r="22" spans="1:8" s="18" customFormat="1" ht="16" customHeight="1" x14ac:dyDescent="0.25">
      <c r="A22" s="14">
        <v>18</v>
      </c>
      <c r="B22" s="15" t="str">
        <f>HYPERLINK("http://www.nhsgrampian.co.uk","Scottish Health Board - NHS Grampian")</f>
        <v>Scottish Health Board - NHS Grampian</v>
      </c>
      <c r="C22" s="20" t="s">
        <v>31</v>
      </c>
      <c r="D22" s="21" t="s">
        <v>33</v>
      </c>
      <c r="E22" s="21" t="s">
        <v>33</v>
      </c>
      <c r="F22" s="2" t="s">
        <v>96</v>
      </c>
      <c r="G22" s="28" t="s">
        <v>903</v>
      </c>
      <c r="H22" s="17"/>
    </row>
    <row r="23" spans="1:8" s="18" customFormat="1" ht="16" customHeight="1" x14ac:dyDescent="0.25">
      <c r="A23" s="14">
        <v>19</v>
      </c>
      <c r="B23" s="15" t="str">
        <f>HYPERLINK("http://www.nhsggc.org.uk/","Scottish Health Board - NHS Greater Glasgow and Clyde")</f>
        <v>Scottish Health Board - NHS Greater Glasgow and Clyde</v>
      </c>
      <c r="C23" s="20" t="s">
        <v>31</v>
      </c>
      <c r="D23" s="21" t="s">
        <v>33</v>
      </c>
      <c r="E23" s="21" t="s">
        <v>33</v>
      </c>
      <c r="F23" s="2" t="s">
        <v>97</v>
      </c>
      <c r="G23" s="28" t="s">
        <v>903</v>
      </c>
      <c r="H23" s="17"/>
    </row>
    <row r="24" spans="1:8" s="18" customFormat="1" ht="16" customHeight="1" x14ac:dyDescent="0.25">
      <c r="A24" s="14">
        <v>20</v>
      </c>
      <c r="B24" s="15" t="str">
        <f>HYPERLINK("http://www.nhshighland.scot.nhs.uk","Scottish Health Board - NHS Highland")</f>
        <v>Scottish Health Board - NHS Highland</v>
      </c>
      <c r="C24" s="20" t="s">
        <v>31</v>
      </c>
      <c r="D24" s="21" t="s">
        <v>33</v>
      </c>
      <c r="E24" s="21" t="s">
        <v>33</v>
      </c>
      <c r="F24" s="2" t="s">
        <v>98</v>
      </c>
      <c r="G24" s="28" t="s">
        <v>903</v>
      </c>
      <c r="H24" s="17"/>
    </row>
    <row r="25" spans="1:8" s="18" customFormat="1" ht="16" customHeight="1" x14ac:dyDescent="0.25">
      <c r="A25" s="14">
        <v>21</v>
      </c>
      <c r="B25" s="15" t="str">
        <f>HYPERLINK("http://www.nhslanarkshire.org.uk","Scottish Health Board - NHS Lanarkshire")</f>
        <v>Scottish Health Board - NHS Lanarkshire</v>
      </c>
      <c r="C25" s="20" t="s">
        <v>31</v>
      </c>
      <c r="D25" s="21" t="s">
        <v>33</v>
      </c>
      <c r="E25" s="21" t="s">
        <v>33</v>
      </c>
      <c r="F25" s="2" t="s">
        <v>99</v>
      </c>
      <c r="G25" s="28" t="s">
        <v>903</v>
      </c>
      <c r="H25" s="17"/>
    </row>
    <row r="26" spans="1:8" s="18" customFormat="1" ht="16" customHeight="1" x14ac:dyDescent="0.25">
      <c r="A26" s="14">
        <v>22</v>
      </c>
      <c r="B26" s="15" t="str">
        <f>HYPERLINK("http://www.nhslothian.scot.nhs.uk","Scottish Health Board - NHS Lothian")</f>
        <v>Scottish Health Board - NHS Lothian</v>
      </c>
      <c r="C26" s="20" t="s">
        <v>31</v>
      </c>
      <c r="D26" s="21" t="s">
        <v>33</v>
      </c>
      <c r="E26" s="21" t="s">
        <v>33</v>
      </c>
      <c r="F26" s="2" t="s">
        <v>100</v>
      </c>
      <c r="G26" s="28" t="s">
        <v>903</v>
      </c>
      <c r="H26" s="17"/>
    </row>
    <row r="27" spans="1:8" s="18" customFormat="1" ht="16" customHeight="1" x14ac:dyDescent="0.25">
      <c r="A27" s="14">
        <v>23</v>
      </c>
      <c r="B27" s="15" t="str">
        <f>HYPERLINK("http://www.ohb.scot.nhs.uk","Scottish Health Board - NHS Orkney")</f>
        <v>Scottish Health Board - NHS Orkney</v>
      </c>
      <c r="C27" s="20" t="s">
        <v>31</v>
      </c>
      <c r="D27" s="21" t="s">
        <v>33</v>
      </c>
      <c r="E27" s="21" t="s">
        <v>33</v>
      </c>
      <c r="F27" s="2" t="s">
        <v>101</v>
      </c>
      <c r="G27" s="28" t="s">
        <v>903</v>
      </c>
      <c r="H27" s="17"/>
    </row>
    <row r="28" spans="1:8" s="18" customFormat="1" ht="16" customHeight="1" x14ac:dyDescent="0.25">
      <c r="A28" s="14">
        <v>24</v>
      </c>
      <c r="B28" s="15" t="str">
        <f>HYPERLINK("http://www.shb.scot.nhs.uk","Scottish Health Board - NHS Shetland")</f>
        <v>Scottish Health Board - NHS Shetland</v>
      </c>
      <c r="C28" s="20" t="s">
        <v>31</v>
      </c>
      <c r="D28" s="21" t="s">
        <v>33</v>
      </c>
      <c r="E28" s="21" t="s">
        <v>33</v>
      </c>
      <c r="F28" s="2" t="s">
        <v>102</v>
      </c>
      <c r="G28" s="28" t="s">
        <v>903</v>
      </c>
      <c r="H28" s="17"/>
    </row>
    <row r="29" spans="1:8" s="18" customFormat="1" ht="16" customHeight="1" x14ac:dyDescent="0.25">
      <c r="A29" s="14">
        <v>25</v>
      </c>
      <c r="B29" s="15" t="str">
        <f>HYPERLINK("http://www.nhstayside.scot.nhs.uk","Scottish Health Board - NHS Tayside")</f>
        <v>Scottish Health Board - NHS Tayside</v>
      </c>
      <c r="C29" s="20" t="s">
        <v>31</v>
      </c>
      <c r="D29" s="21" t="s">
        <v>33</v>
      </c>
      <c r="E29" s="21" t="s">
        <v>33</v>
      </c>
      <c r="F29" s="2" t="s">
        <v>103</v>
      </c>
      <c r="G29" s="28" t="s">
        <v>903</v>
      </c>
      <c r="H29" s="17"/>
    </row>
    <row r="30" spans="1:8" s="18" customFormat="1" ht="16" customHeight="1" x14ac:dyDescent="0.25">
      <c r="A30" s="14">
        <v>26</v>
      </c>
      <c r="B30" s="15" t="str">
        <f>HYPERLINK("http://www.wihb.scot.nhs.uk","Scottish Health Board - NHS Western Isles")</f>
        <v>Scottish Health Board - NHS Western Isles</v>
      </c>
      <c r="C30" s="20" t="s">
        <v>31</v>
      </c>
      <c r="D30" s="21" t="s">
        <v>33</v>
      </c>
      <c r="E30" s="21" t="s">
        <v>33</v>
      </c>
      <c r="F30" s="2" t="s">
        <v>104</v>
      </c>
      <c r="G30" s="28" t="s">
        <v>903</v>
      </c>
      <c r="H30" s="17"/>
    </row>
    <row r="31" spans="1:8" s="18" customFormat="1" ht="16" customHeight="1" x14ac:dyDescent="0.25">
      <c r="A31" s="14">
        <v>27</v>
      </c>
      <c r="B31" s="15" t="str">
        <f>HYPERLINK("https://abuhb.nhs.wales/","Wales Health Board - Aneurin Bevan University Health Board")</f>
        <v>Wales Health Board - Aneurin Bevan University Health Board</v>
      </c>
      <c r="C31" s="20" t="s">
        <v>31</v>
      </c>
      <c r="D31" s="21" t="s">
        <v>69</v>
      </c>
      <c r="E31" s="21" t="s">
        <v>69</v>
      </c>
      <c r="F31" s="2" t="s">
        <v>630</v>
      </c>
      <c r="G31" s="28" t="s">
        <v>903</v>
      </c>
      <c r="H31" s="17"/>
    </row>
    <row r="32" spans="1:8" s="18" customFormat="1" ht="16" customHeight="1" x14ac:dyDescent="0.25">
      <c r="A32" s="14">
        <v>28</v>
      </c>
      <c r="B32" s="15" t="str">
        <f>HYPERLINK("https://bcuhb.nhs.wales/","Wales Health Board - Betsi Cadwaladr University Health Board")</f>
        <v>Wales Health Board - Betsi Cadwaladr University Health Board</v>
      </c>
      <c r="C32" s="20" t="s">
        <v>31</v>
      </c>
      <c r="D32" s="21" t="s">
        <v>69</v>
      </c>
      <c r="E32" s="21" t="s">
        <v>69</v>
      </c>
      <c r="F32" s="2" t="s">
        <v>629</v>
      </c>
      <c r="G32" s="28" t="s">
        <v>903</v>
      </c>
      <c r="H32" s="17"/>
    </row>
    <row r="33" spans="1:8" s="18" customFormat="1" ht="16" customHeight="1" x14ac:dyDescent="0.25">
      <c r="A33" s="14">
        <v>29</v>
      </c>
      <c r="B33" s="15" t="str">
        <f>HYPERLINK("https://cavuhb.nhs.wales/","Wales Health Board - Cardiff &amp; Vale University Health Board")</f>
        <v>Wales Health Board - Cardiff &amp; Vale University Health Board</v>
      </c>
      <c r="C33" s="20" t="s">
        <v>31</v>
      </c>
      <c r="D33" s="21" t="s">
        <v>69</v>
      </c>
      <c r="E33" s="21" t="s">
        <v>69</v>
      </c>
      <c r="F33" s="2" t="s">
        <v>555</v>
      </c>
      <c r="G33" s="28" t="s">
        <v>903</v>
      </c>
      <c r="H33" s="17"/>
    </row>
    <row r="34" spans="1:8" s="18" customFormat="1" ht="16" customHeight="1" x14ac:dyDescent="0.25">
      <c r="A34" s="14">
        <v>30</v>
      </c>
      <c r="B34" s="15" t="str">
        <f>HYPERLINK("https://ctmuhb.nhs.wales/","Wales Health Board - Cwm Taf Morgannwg University Health Board")</f>
        <v>Wales Health Board - Cwm Taf Morgannwg University Health Board</v>
      </c>
      <c r="C34" s="20" t="s">
        <v>31</v>
      </c>
      <c r="D34" s="21" t="s">
        <v>69</v>
      </c>
      <c r="E34" s="21" t="s">
        <v>69</v>
      </c>
      <c r="F34" s="2" t="s">
        <v>105</v>
      </c>
      <c r="G34" s="28" t="s">
        <v>903</v>
      </c>
      <c r="H34" s="17"/>
    </row>
    <row r="35" spans="1:8" s="18" customFormat="1" ht="16" customHeight="1" x14ac:dyDescent="0.25">
      <c r="A35" s="14">
        <v>31</v>
      </c>
      <c r="B35" s="15" t="str">
        <f>HYPERLINK("https://hduhb.nhs.wales/","Wales Health Board - Hywel Dda University Health Board")</f>
        <v>Wales Health Board - Hywel Dda University Health Board</v>
      </c>
      <c r="C35" s="20" t="s">
        <v>31</v>
      </c>
      <c r="D35" s="21" t="s">
        <v>69</v>
      </c>
      <c r="E35" s="21" t="s">
        <v>69</v>
      </c>
      <c r="F35" s="2" t="s">
        <v>631</v>
      </c>
      <c r="G35" s="28" t="s">
        <v>903</v>
      </c>
      <c r="H35" s="17"/>
    </row>
    <row r="36" spans="1:8" s="18" customFormat="1" ht="16" customHeight="1" x14ac:dyDescent="0.25">
      <c r="A36" s="14">
        <v>32</v>
      </c>
      <c r="B36" s="15" t="str">
        <f>HYPERLINK("https://pthb.nhs.wales/","Wales Health Board - Powys Teaching Health Board")</f>
        <v>Wales Health Board - Powys Teaching Health Board</v>
      </c>
      <c r="C36" s="20" t="s">
        <v>31</v>
      </c>
      <c r="D36" s="21" t="s">
        <v>69</v>
      </c>
      <c r="E36" s="21" t="s">
        <v>69</v>
      </c>
      <c r="F36" s="2" t="s">
        <v>556</v>
      </c>
      <c r="G36" s="28" t="s">
        <v>903</v>
      </c>
      <c r="H36" s="17"/>
    </row>
    <row r="37" spans="1:8" s="18" customFormat="1" ht="16" customHeight="1" x14ac:dyDescent="0.25">
      <c r="A37" s="14">
        <v>33</v>
      </c>
      <c r="B37" s="15" t="str">
        <f>HYPERLINK("https://sbuhb.nhs.wales/","Wales Health Board - Swansea Bay University Health Board")</f>
        <v>Wales Health Board - Swansea Bay University Health Board</v>
      </c>
      <c r="C37" s="20" t="s">
        <v>31</v>
      </c>
      <c r="D37" s="21" t="s">
        <v>69</v>
      </c>
      <c r="E37" s="21" t="s">
        <v>69</v>
      </c>
      <c r="F37" s="2" t="s">
        <v>757</v>
      </c>
      <c r="G37" s="28" t="s">
        <v>903</v>
      </c>
      <c r="H37" s="17"/>
    </row>
  </sheetData>
  <autoFilter ref="A4:H37"/>
  <sortState ref="A5:G37">
    <sortCondition ref="C5:C37" customList="International,Regional,National"/>
    <sortCondition ref="D5:D37"/>
    <sortCondition ref="B5:B37"/>
  </sortState>
  <mergeCells count="2">
    <mergeCell ref="A1:H1"/>
    <mergeCell ref="A2:H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 display="http://www.nhsfife.org/"/>
    <hyperlink ref="F21" r:id="rId17" display="http://www.nhsforthvalley.com/"/>
    <hyperlink ref="F22" r:id="rId18" display="http://www.nhsgrampian.co.uk/"/>
    <hyperlink ref="F23" r:id="rId19"/>
    <hyperlink ref="F24" r:id="rId20" display="http://www.nhshighland.scot.nhs.uk/"/>
    <hyperlink ref="F25" r:id="rId21" display="http://www.nhslanarkshire.org.uk/"/>
    <hyperlink ref="F26" r:id="rId22" display="http://www.nhslothian.scot.nhs.uk/"/>
    <hyperlink ref="F27" r:id="rId23" display="http://www.ohb.scot.nhs.uk/"/>
    <hyperlink ref="F28" r:id="rId24" display="http://www.shb.scot.nhs.uk/"/>
    <hyperlink ref="F29" r:id="rId25" display="http://www.nhstayside.scot.nhs.uk/"/>
    <hyperlink ref="F30" r:id="rId26" display="http://www.wihb.scot.nhs.uk/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</hyperlinks>
  <pageMargins left="0.7" right="0.7" top="0.75" bottom="0.75" header="0" footer="0"/>
  <pageSetup orientation="portrait"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F76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1640625" defaultRowHeight="15" customHeight="1" x14ac:dyDescent="0.25"/>
  <cols>
    <col min="1" max="1" width="6.1796875" style="10" customWidth="1"/>
    <col min="2" max="5" width="33" style="32" customWidth="1"/>
    <col min="6" max="6" width="28.81640625" style="32" customWidth="1"/>
    <col min="7" max="16384" width="8.81640625" style="10"/>
  </cols>
  <sheetData>
    <row r="1" spans="1:6" ht="25.4" customHeight="1" x14ac:dyDescent="0.25">
      <c r="A1" s="93" t="s">
        <v>4</v>
      </c>
      <c r="B1" s="93"/>
      <c r="C1" s="93"/>
      <c r="D1" s="93"/>
      <c r="E1" s="93"/>
      <c r="F1" s="93"/>
    </row>
    <row r="2" spans="1:6" ht="15" customHeight="1" x14ac:dyDescent="0.25">
      <c r="A2" s="94" t="s">
        <v>10</v>
      </c>
      <c r="B2" s="94"/>
      <c r="C2" s="94"/>
      <c r="D2" s="94"/>
      <c r="E2" s="94"/>
      <c r="F2" s="94"/>
    </row>
    <row r="3" spans="1:6" ht="15" customHeight="1" x14ac:dyDescent="0.25">
      <c r="A3" s="94"/>
      <c r="B3" s="94"/>
      <c r="C3" s="94"/>
      <c r="D3" s="94"/>
      <c r="E3" s="94"/>
      <c r="F3" s="94"/>
    </row>
    <row r="4" spans="1:6" ht="15" customHeight="1" x14ac:dyDescent="0.25">
      <c r="A4" s="95" t="s">
        <v>11</v>
      </c>
      <c r="B4" s="95"/>
      <c r="C4" s="95"/>
      <c r="D4" s="95"/>
      <c r="E4" s="95"/>
      <c r="F4" s="95"/>
    </row>
    <row r="5" spans="1:6" ht="15.75" customHeight="1" x14ac:dyDescent="0.35">
      <c r="A5" s="96" t="s">
        <v>2</v>
      </c>
      <c r="B5" s="98" t="s">
        <v>12</v>
      </c>
      <c r="C5" s="99"/>
      <c r="D5" s="99"/>
      <c r="E5" s="99"/>
      <c r="F5" s="54"/>
    </row>
    <row r="6" spans="1:6" ht="28.5" customHeight="1" x14ac:dyDescent="0.25">
      <c r="A6" s="97"/>
      <c r="B6" s="36" t="s">
        <v>907</v>
      </c>
      <c r="C6" s="36" t="s">
        <v>26</v>
      </c>
      <c r="D6" s="36" t="s">
        <v>28</v>
      </c>
      <c r="E6" s="36" t="s">
        <v>623</v>
      </c>
      <c r="F6" s="36" t="s">
        <v>27</v>
      </c>
    </row>
    <row r="7" spans="1:6" ht="16" customHeight="1" x14ac:dyDescent="0.25">
      <c r="A7" s="55">
        <v>1</v>
      </c>
      <c r="B7" s="31" t="s">
        <v>197</v>
      </c>
      <c r="C7" s="31" t="s">
        <v>685</v>
      </c>
      <c r="D7" s="31" t="s">
        <v>758</v>
      </c>
      <c r="E7" s="31" t="s">
        <v>1007</v>
      </c>
      <c r="F7" s="33" t="s">
        <v>702</v>
      </c>
    </row>
    <row r="8" spans="1:6" ht="16" customHeight="1" x14ac:dyDescent="0.25">
      <c r="A8" s="55">
        <v>2</v>
      </c>
      <c r="B8" s="31" t="s">
        <v>1019</v>
      </c>
      <c r="C8" s="31" t="s">
        <v>569</v>
      </c>
      <c r="D8" s="31" t="s">
        <v>600</v>
      </c>
      <c r="E8" s="31" t="s">
        <v>759</v>
      </c>
      <c r="F8" s="33" t="s">
        <v>703</v>
      </c>
    </row>
    <row r="9" spans="1:6" ht="16" customHeight="1" x14ac:dyDescent="0.25">
      <c r="A9" s="55">
        <v>3</v>
      </c>
      <c r="B9" s="31" t="s">
        <v>760</v>
      </c>
      <c r="C9" s="31" t="s">
        <v>762</v>
      </c>
      <c r="D9" s="31" t="s">
        <v>601</v>
      </c>
      <c r="E9" s="31" t="s">
        <v>615</v>
      </c>
      <c r="F9" s="33" t="s">
        <v>704</v>
      </c>
    </row>
    <row r="10" spans="1:6" ht="16" customHeight="1" x14ac:dyDescent="0.25">
      <c r="A10" s="55">
        <v>4</v>
      </c>
      <c r="B10" s="31" t="s">
        <v>761</v>
      </c>
      <c r="C10" s="31" t="s">
        <v>570</v>
      </c>
      <c r="D10" s="33" t="s">
        <v>900</v>
      </c>
      <c r="E10" s="31" t="s">
        <v>616</v>
      </c>
      <c r="F10" s="33" t="s">
        <v>765</v>
      </c>
    </row>
    <row r="11" spans="1:6" ht="16" customHeight="1" x14ac:dyDescent="0.25">
      <c r="A11" s="55">
        <v>5</v>
      </c>
      <c r="B11" s="31" t="s">
        <v>763</v>
      </c>
      <c r="C11" s="31" t="s">
        <v>768</v>
      </c>
      <c r="D11" s="31" t="s">
        <v>764</v>
      </c>
      <c r="E11" s="31" t="s">
        <v>1006</v>
      </c>
      <c r="F11" s="33" t="s">
        <v>106</v>
      </c>
    </row>
    <row r="12" spans="1:6" ht="16" customHeight="1" x14ac:dyDescent="0.25">
      <c r="A12" s="55">
        <v>6</v>
      </c>
      <c r="B12" s="31" t="s">
        <v>766</v>
      </c>
      <c r="C12" s="31" t="s">
        <v>571</v>
      </c>
      <c r="D12" s="33" t="s">
        <v>1009</v>
      </c>
      <c r="E12" s="31" t="s">
        <v>617</v>
      </c>
      <c r="F12" s="33" t="s">
        <v>769</v>
      </c>
    </row>
    <row r="13" spans="1:6" ht="16" customHeight="1" x14ac:dyDescent="0.25">
      <c r="A13" s="55">
        <v>7</v>
      </c>
      <c r="B13" s="31" t="s">
        <v>767</v>
      </c>
      <c r="C13" s="31" t="s">
        <v>686</v>
      </c>
      <c r="D13" s="31" t="s">
        <v>602</v>
      </c>
      <c r="E13" s="31" t="s">
        <v>618</v>
      </c>
      <c r="F13" s="33" t="s">
        <v>705</v>
      </c>
    </row>
    <row r="14" spans="1:6" ht="16" customHeight="1" x14ac:dyDescent="0.25">
      <c r="A14" s="55">
        <v>8</v>
      </c>
      <c r="B14" s="31" t="s">
        <v>770</v>
      </c>
      <c r="C14" s="31" t="s">
        <v>572</v>
      </c>
      <c r="D14" s="31" t="s">
        <v>603</v>
      </c>
      <c r="E14" s="31" t="s">
        <v>619</v>
      </c>
      <c r="F14" s="33" t="s">
        <v>107</v>
      </c>
    </row>
    <row r="15" spans="1:6" ht="16" customHeight="1" x14ac:dyDescent="0.25">
      <c r="A15" s="55">
        <v>9</v>
      </c>
      <c r="B15" s="31" t="s">
        <v>771</v>
      </c>
      <c r="C15" s="31" t="s">
        <v>573</v>
      </c>
      <c r="D15" s="33" t="s">
        <v>1333</v>
      </c>
      <c r="E15" s="31"/>
      <c r="F15" s="33" t="s">
        <v>706</v>
      </c>
    </row>
    <row r="16" spans="1:6" ht="16" customHeight="1" x14ac:dyDescent="0.25">
      <c r="A16" s="55">
        <v>10</v>
      </c>
      <c r="B16" s="31" t="s">
        <v>1334</v>
      </c>
      <c r="C16" s="31" t="s">
        <v>574</v>
      </c>
      <c r="D16" s="31" t="s">
        <v>604</v>
      </c>
      <c r="E16" s="31"/>
      <c r="F16" s="33" t="s">
        <v>687</v>
      </c>
    </row>
    <row r="17" spans="1:6" ht="16" customHeight="1" x14ac:dyDescent="0.25">
      <c r="A17" s="55">
        <v>11</v>
      </c>
      <c r="B17" s="31" t="s">
        <v>773</v>
      </c>
      <c r="C17" s="31" t="s">
        <v>776</v>
      </c>
      <c r="D17" s="31" t="s">
        <v>772</v>
      </c>
      <c r="E17" s="31"/>
      <c r="F17" s="33" t="s">
        <v>688</v>
      </c>
    </row>
    <row r="18" spans="1:6" ht="16" customHeight="1" x14ac:dyDescent="0.25">
      <c r="A18" s="55">
        <v>12</v>
      </c>
      <c r="B18" s="31" t="s">
        <v>223</v>
      </c>
      <c r="C18" s="31" t="s">
        <v>777</v>
      </c>
      <c r="D18" s="33" t="s">
        <v>1012</v>
      </c>
      <c r="E18" s="31"/>
      <c r="F18" s="33" t="s">
        <v>108</v>
      </c>
    </row>
    <row r="19" spans="1:6" ht="16" customHeight="1" x14ac:dyDescent="0.35">
      <c r="A19" s="55">
        <v>13</v>
      </c>
      <c r="B19" s="31" t="s">
        <v>775</v>
      </c>
      <c r="C19" s="34" t="s">
        <v>1018</v>
      </c>
      <c r="D19" s="33" t="s">
        <v>1011</v>
      </c>
      <c r="E19" s="31"/>
      <c r="F19" s="33" t="s">
        <v>707</v>
      </c>
    </row>
    <row r="20" spans="1:6" ht="16" customHeight="1" x14ac:dyDescent="0.25">
      <c r="A20" s="55">
        <v>14</v>
      </c>
      <c r="B20" s="31" t="s">
        <v>1015</v>
      </c>
      <c r="C20" s="31" t="s">
        <v>778</v>
      </c>
      <c r="D20" s="31" t="s">
        <v>605</v>
      </c>
      <c r="E20" s="31"/>
      <c r="F20" s="33" t="s">
        <v>708</v>
      </c>
    </row>
    <row r="21" spans="1:6" ht="16" customHeight="1" x14ac:dyDescent="0.25">
      <c r="A21" s="55">
        <v>15</v>
      </c>
      <c r="B21" s="31" t="s">
        <v>1004</v>
      </c>
      <c r="C21" s="31" t="s">
        <v>575</v>
      </c>
      <c r="D21" s="31" t="s">
        <v>606</v>
      </c>
      <c r="E21" s="31"/>
      <c r="F21" s="33" t="s">
        <v>620</v>
      </c>
    </row>
    <row r="22" spans="1:6" ht="16" customHeight="1" x14ac:dyDescent="0.25">
      <c r="A22" s="55">
        <v>16</v>
      </c>
      <c r="B22" s="31" t="s">
        <v>1005</v>
      </c>
      <c r="C22" s="31" t="s">
        <v>576</v>
      </c>
      <c r="D22" s="31" t="s">
        <v>774</v>
      </c>
      <c r="E22" s="31"/>
      <c r="F22" s="33" t="s">
        <v>690</v>
      </c>
    </row>
    <row r="23" spans="1:6" ht="16" customHeight="1" x14ac:dyDescent="0.25">
      <c r="A23" s="55">
        <v>17</v>
      </c>
      <c r="B23" s="31" t="s">
        <v>1003</v>
      </c>
      <c r="C23" s="31" t="s">
        <v>577</v>
      </c>
      <c r="D23" s="31" t="s">
        <v>607</v>
      </c>
      <c r="E23" s="31"/>
      <c r="F23" s="33" t="s">
        <v>709</v>
      </c>
    </row>
    <row r="24" spans="1:6" ht="16" customHeight="1" x14ac:dyDescent="0.25">
      <c r="A24" s="55">
        <v>18</v>
      </c>
      <c r="B24" s="31" t="s">
        <v>558</v>
      </c>
      <c r="C24" s="31" t="s">
        <v>578</v>
      </c>
      <c r="D24" s="31" t="s">
        <v>608</v>
      </c>
      <c r="E24" s="33"/>
      <c r="F24" s="33" t="s">
        <v>109</v>
      </c>
    </row>
    <row r="25" spans="1:6" ht="16" customHeight="1" x14ac:dyDescent="0.25">
      <c r="A25" s="55">
        <v>19</v>
      </c>
      <c r="B25" s="31" t="s">
        <v>559</v>
      </c>
      <c r="C25" s="31" t="s">
        <v>579</v>
      </c>
      <c r="D25" s="33" t="s">
        <v>609</v>
      </c>
      <c r="E25" s="33"/>
      <c r="F25" s="33" t="s">
        <v>691</v>
      </c>
    </row>
    <row r="26" spans="1:6" ht="16" customHeight="1" x14ac:dyDescent="0.25">
      <c r="A26" s="55">
        <v>20</v>
      </c>
      <c r="B26" s="31" t="s">
        <v>1008</v>
      </c>
      <c r="C26" s="33" t="s">
        <v>580</v>
      </c>
      <c r="D26" s="33" t="s">
        <v>610</v>
      </c>
      <c r="E26" s="33"/>
      <c r="F26" s="33" t="s">
        <v>110</v>
      </c>
    </row>
    <row r="27" spans="1:6" ht="16" customHeight="1" x14ac:dyDescent="0.25">
      <c r="A27" s="55">
        <v>21</v>
      </c>
      <c r="B27" s="31" t="s">
        <v>141</v>
      </c>
      <c r="C27" s="33" t="s">
        <v>780</v>
      </c>
      <c r="D27" s="33" t="s">
        <v>779</v>
      </c>
      <c r="E27" s="33"/>
      <c r="F27" s="33" t="s">
        <v>111</v>
      </c>
    </row>
    <row r="28" spans="1:6" ht="16" customHeight="1" x14ac:dyDescent="0.25">
      <c r="A28" s="55">
        <v>22</v>
      </c>
      <c r="B28" s="31" t="s">
        <v>560</v>
      </c>
      <c r="C28" s="31" t="s">
        <v>581</v>
      </c>
      <c r="D28" s="33" t="s">
        <v>611</v>
      </c>
      <c r="E28" s="33"/>
      <c r="F28" s="33" t="s">
        <v>710</v>
      </c>
    </row>
    <row r="29" spans="1:6" ht="16" customHeight="1" x14ac:dyDescent="0.25">
      <c r="A29" s="55">
        <v>23</v>
      </c>
      <c r="B29" s="31" t="s">
        <v>561</v>
      </c>
      <c r="C29" s="31" t="s">
        <v>582</v>
      </c>
      <c r="D29" s="33" t="s">
        <v>612</v>
      </c>
      <c r="E29" s="33"/>
      <c r="F29" s="33" t="s">
        <v>711</v>
      </c>
    </row>
    <row r="30" spans="1:6" ht="16" customHeight="1" x14ac:dyDescent="0.25">
      <c r="A30" s="55">
        <v>24</v>
      </c>
      <c r="B30" s="31" t="s">
        <v>1014</v>
      </c>
      <c r="C30" s="31" t="s">
        <v>782</v>
      </c>
      <c r="D30" s="33" t="s">
        <v>613</v>
      </c>
      <c r="E30" s="33"/>
      <c r="F30" s="33" t="s">
        <v>712</v>
      </c>
    </row>
    <row r="31" spans="1:6" ht="16" customHeight="1" x14ac:dyDescent="0.25">
      <c r="A31" s="55">
        <v>25</v>
      </c>
      <c r="B31" s="31" t="s">
        <v>200</v>
      </c>
      <c r="C31" s="31" t="s">
        <v>783</v>
      </c>
      <c r="D31" s="33" t="s">
        <v>614</v>
      </c>
      <c r="E31" s="33"/>
      <c r="F31" s="33" t="s">
        <v>112</v>
      </c>
    </row>
    <row r="32" spans="1:6" ht="16" customHeight="1" x14ac:dyDescent="0.25">
      <c r="A32" s="55">
        <v>26</v>
      </c>
      <c r="B32" s="31" t="s">
        <v>562</v>
      </c>
      <c r="C32" s="33" t="s">
        <v>583</v>
      </c>
      <c r="D32" s="33" t="s">
        <v>624</v>
      </c>
      <c r="E32" s="33"/>
      <c r="F32" s="33" t="s">
        <v>692</v>
      </c>
    </row>
    <row r="33" spans="1:6" ht="16" customHeight="1" x14ac:dyDescent="0.25">
      <c r="A33" s="55">
        <v>27</v>
      </c>
      <c r="B33" s="31" t="s">
        <v>563</v>
      </c>
      <c r="C33" s="33" t="s">
        <v>584</v>
      </c>
      <c r="D33" s="33" t="s">
        <v>781</v>
      </c>
      <c r="E33" s="33"/>
      <c r="F33" s="33" t="s">
        <v>693</v>
      </c>
    </row>
    <row r="34" spans="1:6" ht="16" customHeight="1" x14ac:dyDescent="0.25">
      <c r="A34" s="55">
        <v>28</v>
      </c>
      <c r="B34" s="31" t="s">
        <v>564</v>
      </c>
      <c r="C34" s="33" t="s">
        <v>585</v>
      </c>
      <c r="D34" s="33"/>
      <c r="E34" s="33"/>
      <c r="F34" s="33" t="s">
        <v>113</v>
      </c>
    </row>
    <row r="35" spans="1:6" ht="16" customHeight="1" x14ac:dyDescent="0.25">
      <c r="A35" s="55">
        <v>29</v>
      </c>
      <c r="B35" s="31" t="s">
        <v>565</v>
      </c>
      <c r="C35" s="31" t="s">
        <v>586</v>
      </c>
      <c r="D35" s="33"/>
      <c r="E35" s="33"/>
      <c r="F35" s="31" t="s">
        <v>114</v>
      </c>
    </row>
    <row r="36" spans="1:6" ht="16" customHeight="1" x14ac:dyDescent="0.25">
      <c r="A36" s="55">
        <v>30</v>
      </c>
      <c r="B36" s="31" t="s">
        <v>566</v>
      </c>
      <c r="C36" s="31" t="s">
        <v>784</v>
      </c>
      <c r="D36" s="33"/>
      <c r="E36" s="33"/>
      <c r="F36" s="31" t="s">
        <v>115</v>
      </c>
    </row>
    <row r="37" spans="1:6" ht="16" customHeight="1" x14ac:dyDescent="0.25">
      <c r="A37" s="55">
        <v>31</v>
      </c>
      <c r="B37" s="31" t="s">
        <v>567</v>
      </c>
      <c r="C37" s="31" t="s">
        <v>587</v>
      </c>
      <c r="D37" s="33"/>
      <c r="E37" s="33"/>
      <c r="F37" s="31" t="s">
        <v>116</v>
      </c>
    </row>
    <row r="38" spans="1:6" ht="16" customHeight="1" x14ac:dyDescent="0.25">
      <c r="A38" s="55">
        <v>32</v>
      </c>
      <c r="B38" s="31" t="s">
        <v>568</v>
      </c>
      <c r="C38" s="31" t="s">
        <v>588</v>
      </c>
      <c r="D38" s="33"/>
      <c r="E38" s="33"/>
      <c r="F38" s="31" t="s">
        <v>694</v>
      </c>
    </row>
    <row r="39" spans="1:6" ht="16" customHeight="1" x14ac:dyDescent="0.25">
      <c r="A39" s="55">
        <v>33</v>
      </c>
      <c r="B39" s="31" t="s">
        <v>911</v>
      </c>
      <c r="C39" s="31" t="s">
        <v>589</v>
      </c>
      <c r="D39" s="33"/>
      <c r="E39" s="33"/>
      <c r="F39" s="31" t="s">
        <v>696</v>
      </c>
    </row>
    <row r="40" spans="1:6" ht="16" customHeight="1" x14ac:dyDescent="0.25">
      <c r="A40" s="55">
        <v>34</v>
      </c>
      <c r="B40" s="31" t="s">
        <v>1013</v>
      </c>
      <c r="C40" s="31" t="s">
        <v>590</v>
      </c>
      <c r="D40" s="33"/>
      <c r="E40" s="33"/>
      <c r="F40" s="31" t="s">
        <v>713</v>
      </c>
    </row>
    <row r="41" spans="1:6" ht="16" customHeight="1" x14ac:dyDescent="0.25">
      <c r="A41" s="55">
        <v>35</v>
      </c>
      <c r="B41" s="31" t="s">
        <v>1016</v>
      </c>
      <c r="C41" s="31" t="s">
        <v>785</v>
      </c>
      <c r="D41" s="33"/>
      <c r="E41" s="33"/>
      <c r="F41" s="31" t="s">
        <v>117</v>
      </c>
    </row>
    <row r="42" spans="1:6" ht="16" customHeight="1" x14ac:dyDescent="0.25">
      <c r="A42" s="55">
        <v>36</v>
      </c>
      <c r="B42" s="31"/>
      <c r="C42" s="31" t="s">
        <v>787</v>
      </c>
      <c r="D42" s="33"/>
      <c r="E42" s="33"/>
      <c r="F42" s="31" t="s">
        <v>786</v>
      </c>
    </row>
    <row r="43" spans="1:6" ht="16" customHeight="1" x14ac:dyDescent="0.25">
      <c r="A43" s="55">
        <v>37</v>
      </c>
      <c r="B43" s="31"/>
      <c r="C43" s="31" t="s">
        <v>788</v>
      </c>
      <c r="D43" s="33"/>
      <c r="E43" s="33"/>
      <c r="F43" s="31" t="s">
        <v>714</v>
      </c>
    </row>
    <row r="44" spans="1:6" ht="16" customHeight="1" x14ac:dyDescent="0.25">
      <c r="A44" s="55">
        <v>38</v>
      </c>
      <c r="B44" s="31"/>
      <c r="C44" s="31" t="s">
        <v>901</v>
      </c>
      <c r="D44" s="33"/>
      <c r="E44" s="33"/>
      <c r="F44" s="31" t="s">
        <v>789</v>
      </c>
    </row>
    <row r="45" spans="1:6" ht="16" customHeight="1" x14ac:dyDescent="0.35">
      <c r="A45" s="55">
        <v>39</v>
      </c>
      <c r="B45" s="31"/>
      <c r="C45" s="34" t="s">
        <v>1017</v>
      </c>
      <c r="D45" s="33"/>
      <c r="E45" s="33"/>
      <c r="F45" s="31" t="s">
        <v>715</v>
      </c>
    </row>
    <row r="46" spans="1:6" ht="16" customHeight="1" x14ac:dyDescent="0.25">
      <c r="A46" s="55">
        <v>40</v>
      </c>
      <c r="B46" s="31"/>
      <c r="C46" s="31" t="s">
        <v>591</v>
      </c>
      <c r="D46" s="33"/>
      <c r="E46" s="33"/>
      <c r="F46" s="31" t="s">
        <v>118</v>
      </c>
    </row>
    <row r="47" spans="1:6" ht="16" customHeight="1" x14ac:dyDescent="0.25">
      <c r="A47" s="55">
        <v>41</v>
      </c>
      <c r="B47" s="31"/>
      <c r="C47" s="31" t="s">
        <v>128</v>
      </c>
      <c r="D47" s="33"/>
      <c r="E47" s="33"/>
      <c r="F47" s="31" t="s">
        <v>119</v>
      </c>
    </row>
    <row r="48" spans="1:6" ht="16" customHeight="1" x14ac:dyDescent="0.25">
      <c r="A48" s="55">
        <v>42</v>
      </c>
      <c r="B48" s="31"/>
      <c r="C48" s="31" t="s">
        <v>790</v>
      </c>
      <c r="D48" s="33"/>
      <c r="E48" s="33"/>
      <c r="F48" s="31" t="s">
        <v>716</v>
      </c>
    </row>
    <row r="49" spans="1:6" ht="16" customHeight="1" x14ac:dyDescent="0.25">
      <c r="A49" s="55">
        <v>43</v>
      </c>
      <c r="B49" s="31"/>
      <c r="C49" s="31" t="s">
        <v>592</v>
      </c>
      <c r="D49" s="33"/>
      <c r="E49" s="33"/>
      <c r="F49" s="31" t="s">
        <v>120</v>
      </c>
    </row>
    <row r="50" spans="1:6" ht="16" customHeight="1" x14ac:dyDescent="0.25">
      <c r="A50" s="55">
        <v>44</v>
      </c>
      <c r="B50" s="31"/>
      <c r="C50" s="31" t="s">
        <v>593</v>
      </c>
      <c r="D50" s="33"/>
      <c r="E50" s="33"/>
      <c r="F50" s="31" t="s">
        <v>121</v>
      </c>
    </row>
    <row r="51" spans="1:6" ht="16" customHeight="1" x14ac:dyDescent="0.25">
      <c r="A51" s="55">
        <v>45</v>
      </c>
      <c r="B51" s="31"/>
      <c r="C51" s="31" t="s">
        <v>791</v>
      </c>
      <c r="D51" s="33"/>
      <c r="E51" s="33"/>
      <c r="F51" s="31" t="s">
        <v>621</v>
      </c>
    </row>
    <row r="52" spans="1:6" ht="16" customHeight="1" x14ac:dyDescent="0.25">
      <c r="A52" s="55">
        <v>46</v>
      </c>
      <c r="B52" s="31"/>
      <c r="C52" s="31" t="s">
        <v>792</v>
      </c>
      <c r="D52" s="33"/>
      <c r="E52" s="33"/>
      <c r="F52" s="31" t="s">
        <v>122</v>
      </c>
    </row>
    <row r="53" spans="1:6" ht="16" customHeight="1" x14ac:dyDescent="0.35">
      <c r="A53" s="55">
        <v>47</v>
      </c>
      <c r="B53" s="31"/>
      <c r="C53" s="34" t="s">
        <v>1010</v>
      </c>
      <c r="D53" s="33"/>
      <c r="E53" s="33"/>
      <c r="F53" s="31" t="s">
        <v>123</v>
      </c>
    </row>
    <row r="54" spans="1:6" ht="16" customHeight="1" x14ac:dyDescent="0.25">
      <c r="A54" s="55">
        <v>48</v>
      </c>
      <c r="B54" s="31"/>
      <c r="C54" s="31" t="s">
        <v>793</v>
      </c>
      <c r="D54" s="33"/>
      <c r="E54" s="33"/>
      <c r="F54" s="31" t="s">
        <v>124</v>
      </c>
    </row>
    <row r="55" spans="1:6" ht="16" customHeight="1" x14ac:dyDescent="0.25">
      <c r="A55" s="55">
        <v>49</v>
      </c>
      <c r="B55" s="31"/>
      <c r="C55" s="31" t="s">
        <v>594</v>
      </c>
      <c r="D55" s="33"/>
      <c r="E55" s="33"/>
      <c r="F55" s="31" t="s">
        <v>795</v>
      </c>
    </row>
    <row r="56" spans="1:6" ht="16" customHeight="1" x14ac:dyDescent="0.25">
      <c r="A56" s="55">
        <v>50</v>
      </c>
      <c r="B56" s="31"/>
      <c r="C56" s="31" t="s">
        <v>595</v>
      </c>
      <c r="D56" s="33"/>
      <c r="E56" s="33"/>
      <c r="F56" s="31" t="s">
        <v>697</v>
      </c>
    </row>
    <row r="57" spans="1:6" ht="16" customHeight="1" x14ac:dyDescent="0.25">
      <c r="A57" s="55">
        <v>51</v>
      </c>
      <c r="B57" s="31"/>
      <c r="C57" s="31" t="s">
        <v>794</v>
      </c>
      <c r="D57" s="33"/>
      <c r="E57" s="33"/>
      <c r="F57" s="31" t="s">
        <v>717</v>
      </c>
    </row>
    <row r="58" spans="1:6" ht="16" customHeight="1" x14ac:dyDescent="0.25">
      <c r="A58" s="55">
        <v>52</v>
      </c>
      <c r="B58" s="31"/>
      <c r="C58" s="31" t="s">
        <v>596</v>
      </c>
      <c r="D58" s="33"/>
      <c r="E58" s="33"/>
      <c r="F58" s="31" t="s">
        <v>622</v>
      </c>
    </row>
    <row r="59" spans="1:6" ht="16" customHeight="1" x14ac:dyDescent="0.25">
      <c r="A59" s="55">
        <v>53</v>
      </c>
      <c r="B59" s="31"/>
      <c r="C59" s="31" t="s">
        <v>689</v>
      </c>
      <c r="D59" s="33"/>
      <c r="E59" s="33"/>
      <c r="F59" s="31" t="s">
        <v>698</v>
      </c>
    </row>
    <row r="60" spans="1:6" ht="16" customHeight="1" x14ac:dyDescent="0.25">
      <c r="A60" s="55">
        <v>54</v>
      </c>
      <c r="B60" s="31"/>
      <c r="C60" s="31" t="s">
        <v>796</v>
      </c>
      <c r="D60" s="33"/>
      <c r="E60" s="33"/>
      <c r="F60" s="31" t="s">
        <v>699</v>
      </c>
    </row>
    <row r="61" spans="1:6" ht="16" customHeight="1" x14ac:dyDescent="0.25">
      <c r="A61" s="55">
        <v>55</v>
      </c>
      <c r="B61" s="31"/>
      <c r="C61" s="31" t="s">
        <v>797</v>
      </c>
      <c r="D61" s="33"/>
      <c r="E61" s="33"/>
      <c r="F61" s="31" t="s">
        <v>700</v>
      </c>
    </row>
    <row r="62" spans="1:6" ht="16" customHeight="1" x14ac:dyDescent="0.25">
      <c r="A62" s="55">
        <v>56</v>
      </c>
      <c r="B62" s="31"/>
      <c r="C62" s="31" t="s">
        <v>798</v>
      </c>
      <c r="D62" s="33"/>
      <c r="E62" s="33"/>
      <c r="F62" s="31" t="s">
        <v>125</v>
      </c>
    </row>
    <row r="63" spans="1:6" ht="16" customHeight="1" x14ac:dyDescent="0.25">
      <c r="A63" s="55">
        <v>57</v>
      </c>
      <c r="B63" s="31"/>
      <c r="C63" s="31" t="s">
        <v>799</v>
      </c>
      <c r="D63" s="33"/>
      <c r="E63" s="33"/>
      <c r="F63" s="31" t="s">
        <v>126</v>
      </c>
    </row>
    <row r="64" spans="1:6" ht="16" customHeight="1" x14ac:dyDescent="0.25">
      <c r="A64" s="55">
        <v>58</v>
      </c>
      <c r="B64" s="31"/>
      <c r="C64" s="31" t="s">
        <v>597</v>
      </c>
      <c r="D64" s="33"/>
      <c r="E64" s="33"/>
      <c r="F64" s="31" t="s">
        <v>127</v>
      </c>
    </row>
    <row r="65" spans="1:6" ht="16" customHeight="1" x14ac:dyDescent="0.25">
      <c r="A65" s="55">
        <v>59</v>
      </c>
      <c r="B65" s="31"/>
      <c r="C65" s="31" t="s">
        <v>800</v>
      </c>
      <c r="D65" s="33"/>
      <c r="E65" s="33"/>
      <c r="F65" s="31" t="s">
        <v>718</v>
      </c>
    </row>
    <row r="66" spans="1:6" ht="16" customHeight="1" x14ac:dyDescent="0.25">
      <c r="A66" s="55">
        <v>60</v>
      </c>
      <c r="B66" s="31"/>
      <c r="C66" s="31" t="s">
        <v>801</v>
      </c>
      <c r="D66" s="33"/>
      <c r="E66" s="33"/>
      <c r="F66" s="31" t="s">
        <v>719</v>
      </c>
    </row>
    <row r="67" spans="1:6" ht="16" customHeight="1" x14ac:dyDescent="0.25">
      <c r="A67" s="55">
        <v>61</v>
      </c>
      <c r="B67" s="31"/>
      <c r="C67" s="31" t="s">
        <v>802</v>
      </c>
      <c r="D67" s="33"/>
      <c r="E67" s="33"/>
      <c r="F67" s="31" t="s">
        <v>720</v>
      </c>
    </row>
    <row r="68" spans="1:6" ht="16" customHeight="1" x14ac:dyDescent="0.25">
      <c r="A68" s="55">
        <v>62</v>
      </c>
      <c r="B68" s="31"/>
      <c r="C68" s="31" t="s">
        <v>803</v>
      </c>
      <c r="D68" s="33"/>
      <c r="E68" s="33"/>
      <c r="F68" s="31" t="s">
        <v>721</v>
      </c>
    </row>
    <row r="69" spans="1:6" ht="16" customHeight="1" x14ac:dyDescent="0.35">
      <c r="A69" s="55">
        <v>63</v>
      </c>
      <c r="B69" s="31"/>
      <c r="C69" s="34" t="s">
        <v>992</v>
      </c>
      <c r="D69" s="33"/>
      <c r="E69" s="33"/>
      <c r="F69" s="31" t="s">
        <v>701</v>
      </c>
    </row>
    <row r="70" spans="1:6" ht="16" customHeight="1" x14ac:dyDescent="0.25">
      <c r="A70" s="55">
        <v>64</v>
      </c>
      <c r="B70" s="31"/>
      <c r="C70" s="31" t="s">
        <v>804</v>
      </c>
      <c r="D70" s="33"/>
      <c r="E70" s="33"/>
      <c r="F70" s="31" t="s">
        <v>722</v>
      </c>
    </row>
    <row r="71" spans="1:6" ht="16" customHeight="1" x14ac:dyDescent="0.25">
      <c r="A71" s="55">
        <v>65</v>
      </c>
      <c r="B71" s="31"/>
      <c r="C71" s="31" t="s">
        <v>598</v>
      </c>
      <c r="D71" s="33"/>
      <c r="E71" s="33"/>
      <c r="F71" s="31" t="s">
        <v>723</v>
      </c>
    </row>
    <row r="72" spans="1:6" ht="16" customHeight="1" x14ac:dyDescent="0.25">
      <c r="A72" s="55">
        <v>66</v>
      </c>
      <c r="B72" s="31"/>
      <c r="C72" s="31" t="s">
        <v>805</v>
      </c>
      <c r="D72" s="33"/>
      <c r="E72" s="33"/>
      <c r="F72" s="31" t="s">
        <v>724</v>
      </c>
    </row>
    <row r="73" spans="1:6" ht="15" customHeight="1" x14ac:dyDescent="0.35">
      <c r="A73" s="55">
        <v>67</v>
      </c>
      <c r="B73" s="34"/>
      <c r="C73" s="31" t="s">
        <v>599</v>
      </c>
      <c r="D73" s="34"/>
      <c r="E73" s="34"/>
      <c r="F73" s="34"/>
    </row>
    <row r="74" spans="1:6" ht="15" customHeight="1" x14ac:dyDescent="0.35">
      <c r="A74" s="55">
        <v>68</v>
      </c>
      <c r="B74" s="34"/>
      <c r="C74" s="31" t="s">
        <v>695</v>
      </c>
      <c r="D74" s="34"/>
      <c r="E74" s="34"/>
      <c r="F74" s="34"/>
    </row>
    <row r="75" spans="1:6" ht="15" customHeight="1" x14ac:dyDescent="0.35">
      <c r="A75" s="55">
        <v>69</v>
      </c>
      <c r="B75" s="34"/>
      <c r="C75" s="31" t="s">
        <v>806</v>
      </c>
      <c r="D75" s="34"/>
      <c r="E75" s="34"/>
      <c r="F75" s="34"/>
    </row>
    <row r="76" spans="1:6" ht="15" customHeight="1" x14ac:dyDescent="0.35">
      <c r="A76" s="55">
        <v>70</v>
      </c>
      <c r="B76" s="34"/>
      <c r="C76" s="31" t="s">
        <v>807</v>
      </c>
      <c r="D76" s="34"/>
      <c r="E76" s="34"/>
      <c r="F76" s="34"/>
    </row>
  </sheetData>
  <autoFilter ref="A6:F6"/>
  <sortState ref="F7:F72">
    <sortCondition ref="F7"/>
  </sortState>
  <mergeCells count="5">
    <mergeCell ref="A1:F1"/>
    <mergeCell ref="A2:F3"/>
    <mergeCell ref="A4:F4"/>
    <mergeCell ref="A5:A6"/>
    <mergeCell ref="B5:E5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43"/>
  <sheetViews>
    <sheetView showGridLines="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8.81640625" defaultRowHeight="14" x14ac:dyDescent="0.3"/>
  <cols>
    <col min="1" max="1" width="8.81640625" style="22"/>
    <col min="2" max="2" width="69" style="22" customWidth="1"/>
    <col min="3" max="3" width="17.54296875" style="22" customWidth="1"/>
    <col min="4" max="4" width="45.453125" style="22" customWidth="1"/>
    <col min="5" max="5" width="30.81640625" style="22" customWidth="1"/>
    <col min="6" max="16384" width="8.81640625" style="22"/>
  </cols>
  <sheetData>
    <row r="1" spans="1:5" ht="30" customHeight="1" x14ac:dyDescent="0.3">
      <c r="A1" s="56" t="s">
        <v>14</v>
      </c>
      <c r="B1" s="56" t="s">
        <v>632</v>
      </c>
      <c r="C1" s="56" t="s">
        <v>633</v>
      </c>
      <c r="D1" s="56" t="s">
        <v>634</v>
      </c>
      <c r="E1" s="56" t="s">
        <v>902</v>
      </c>
    </row>
    <row r="2" spans="1:5" ht="15" customHeight="1" x14ac:dyDescent="0.3">
      <c r="A2" s="57">
        <v>1</v>
      </c>
      <c r="B2" s="58" t="str">
        <f>HYPERLINK("https://blmkhealthandcarepartnership.org/","Bedfordshire, Luton and Milton Keynes Integrated Care System")</f>
        <v>Bedfordshire, Luton and Milton Keynes Integrated Care System</v>
      </c>
      <c r="C2" s="59" t="s">
        <v>635</v>
      </c>
      <c r="D2" s="58" t="s">
        <v>636</v>
      </c>
      <c r="E2" s="60" t="s">
        <v>903</v>
      </c>
    </row>
    <row r="3" spans="1:5" ht="15" customHeight="1" x14ac:dyDescent="0.3">
      <c r="A3" s="57">
        <v>2</v>
      </c>
      <c r="B3" s="58" t="str">
        <f>HYPERLINK("https://www.cpics.org.uk/","Cambridgeshire &amp; Peterborough Integrated Care System")</f>
        <v>Cambridgeshire &amp; Peterborough Integrated Care System</v>
      </c>
      <c r="C3" s="59" t="s">
        <v>635</v>
      </c>
      <c r="D3" s="58" t="s">
        <v>637</v>
      </c>
      <c r="E3" s="60" t="s">
        <v>903</v>
      </c>
    </row>
    <row r="4" spans="1:5" ht="15" customHeight="1" x14ac:dyDescent="0.3">
      <c r="A4" s="57">
        <v>3</v>
      </c>
      <c r="B4" s="58" t="str">
        <f>HYPERLINK("https://hertsandwestessexics.org.uk/","Hertfordshire and West Essex Integrated Care System")</f>
        <v>Hertfordshire and West Essex Integrated Care System</v>
      </c>
      <c r="C4" s="59" t="s">
        <v>635</v>
      </c>
      <c r="D4" s="58" t="s">
        <v>638</v>
      </c>
      <c r="E4" s="60" t="s">
        <v>903</v>
      </c>
    </row>
    <row r="5" spans="1:5" ht="15" customHeight="1" x14ac:dyDescent="0.3">
      <c r="A5" s="57">
        <v>4</v>
      </c>
      <c r="B5" s="58" t="str">
        <f>HYPERLINK("https://www.midandsouthessex.ics.nhs.uk/","Mid and South Essex Integrated Care System")</f>
        <v>Mid and South Essex Integrated Care System</v>
      </c>
      <c r="C5" s="59" t="s">
        <v>635</v>
      </c>
      <c r="D5" s="58" t="s">
        <v>639</v>
      </c>
      <c r="E5" s="60" t="s">
        <v>903</v>
      </c>
    </row>
    <row r="6" spans="1:5" ht="15" customHeight="1" x14ac:dyDescent="0.3">
      <c r="A6" s="57">
        <v>5</v>
      </c>
      <c r="B6" s="58" t="str">
        <f>HYPERLINK("https://improvinglivesnw.org.uk/","Norfolk and Waveney Integrated Care System")</f>
        <v>Norfolk and Waveney Integrated Care System</v>
      </c>
      <c r="C6" s="59" t="s">
        <v>635</v>
      </c>
      <c r="D6" s="58" t="s">
        <v>640</v>
      </c>
      <c r="E6" s="60" t="s">
        <v>903</v>
      </c>
    </row>
    <row r="7" spans="1:5" ht="15" customHeight="1" x14ac:dyDescent="0.3">
      <c r="A7" s="57">
        <v>6</v>
      </c>
      <c r="B7" s="58" t="str">
        <f>HYPERLINK("https://www.sneeics.org.uk/","Suffolk and North East Essex Integrated Care System")</f>
        <v>Suffolk and North East Essex Integrated Care System</v>
      </c>
      <c r="C7" s="59" t="s">
        <v>635</v>
      </c>
      <c r="D7" s="58" t="s">
        <v>641</v>
      </c>
      <c r="E7" s="60" t="s">
        <v>903</v>
      </c>
    </row>
    <row r="8" spans="1:5" ht="15" customHeight="1" x14ac:dyDescent="0.3">
      <c r="A8" s="57">
        <v>7</v>
      </c>
      <c r="B8" s="58" t="str">
        <f>HYPERLINK("https://nclhealthandcare.org.uk/","North Central London Integrated Care System")</f>
        <v>North Central London Integrated Care System</v>
      </c>
      <c r="C8" s="59" t="s">
        <v>642</v>
      </c>
      <c r="D8" s="58" t="s">
        <v>643</v>
      </c>
      <c r="E8" s="60" t="s">
        <v>903</v>
      </c>
    </row>
    <row r="9" spans="1:5" ht="15" customHeight="1" x14ac:dyDescent="0.3">
      <c r="A9" s="57">
        <v>8</v>
      </c>
      <c r="B9" s="58" t="str">
        <f>HYPERLINK("https://northeastlondon.icb.nhs.uk/","North East London Integrated Care System")</f>
        <v>North East London Integrated Care System</v>
      </c>
      <c r="C9" s="59" t="s">
        <v>642</v>
      </c>
      <c r="D9" s="58" t="s">
        <v>644</v>
      </c>
      <c r="E9" s="60" t="s">
        <v>903</v>
      </c>
    </row>
    <row r="10" spans="1:5" ht="15" customHeight="1" x14ac:dyDescent="0.3">
      <c r="A10" s="57">
        <v>9</v>
      </c>
      <c r="B10" s="58" t="str">
        <f>HYPERLINK("https://www.nwlondonicb.nhs.uk/","North West London Integrated Care System")</f>
        <v>North West London Integrated Care System</v>
      </c>
      <c r="C10" s="59" t="s">
        <v>642</v>
      </c>
      <c r="D10" s="58" t="s">
        <v>645</v>
      </c>
      <c r="E10" s="60" t="s">
        <v>903</v>
      </c>
    </row>
    <row r="11" spans="1:5" ht="15" customHeight="1" x14ac:dyDescent="0.3">
      <c r="A11" s="57">
        <v>10</v>
      </c>
      <c r="B11" s="58" t="str">
        <f>HYPERLINK("https://www.selondonics.org/","South East London Integrated Care System")</f>
        <v>South East London Integrated Care System</v>
      </c>
      <c r="C11" s="59" t="s">
        <v>642</v>
      </c>
      <c r="D11" s="58" t="s">
        <v>646</v>
      </c>
      <c r="E11" s="60" t="s">
        <v>903</v>
      </c>
    </row>
    <row r="12" spans="1:5" ht="15" customHeight="1" x14ac:dyDescent="0.3">
      <c r="A12" s="57">
        <v>11</v>
      </c>
      <c r="B12" s="58" t="str">
        <f>HYPERLINK("https://www.southwestlondonics.org.uk/","South West London Integrated Care System")</f>
        <v>South West London Integrated Care System</v>
      </c>
      <c r="C12" s="59" t="s">
        <v>642</v>
      </c>
      <c r="D12" s="58" t="s">
        <v>647</v>
      </c>
      <c r="E12" s="60" t="s">
        <v>903</v>
      </c>
    </row>
    <row r="13" spans="1:5" ht="15" customHeight="1" x14ac:dyDescent="0.3">
      <c r="A13" s="57">
        <v>12</v>
      </c>
      <c r="B13" s="58" t="str">
        <f>HYPERLINK("https://www.birminghamsolihull.icb.nhs.uk/","Birmingham and Solihull Integrated Care System")</f>
        <v>Birmingham and Solihull Integrated Care System</v>
      </c>
      <c r="C13" s="59" t="s">
        <v>648</v>
      </c>
      <c r="D13" s="58" t="s">
        <v>649</v>
      </c>
      <c r="E13" s="60" t="s">
        <v>903</v>
      </c>
    </row>
    <row r="14" spans="1:5" ht="15" customHeight="1" x14ac:dyDescent="0.3">
      <c r="A14" s="57">
        <v>13</v>
      </c>
      <c r="B14" s="58" t="str">
        <f>HYPERLINK("https://blackcountryics.org.uk/","Black Country Integrated Care System")</f>
        <v>Black Country Integrated Care System</v>
      </c>
      <c r="C14" s="59" t="s">
        <v>648</v>
      </c>
      <c r="D14" s="58" t="s">
        <v>650</v>
      </c>
      <c r="E14" s="60" t="s">
        <v>903</v>
      </c>
    </row>
    <row r="15" spans="1:5" ht="15" customHeight="1" x14ac:dyDescent="0.3">
      <c r="A15" s="57">
        <v>14</v>
      </c>
      <c r="B15" s="58" t="str">
        <f>HYPERLINK("https://www.happyhealthylives.uk/","Coventry and Warwickshire Integrated Care System")</f>
        <v>Coventry and Warwickshire Integrated Care System</v>
      </c>
      <c r="C15" s="59" t="s">
        <v>648</v>
      </c>
      <c r="D15" s="58" t="s">
        <v>651</v>
      </c>
      <c r="E15" s="60" t="s">
        <v>903</v>
      </c>
    </row>
    <row r="16" spans="1:5" ht="15" customHeight="1" x14ac:dyDescent="0.3">
      <c r="A16" s="57">
        <v>15</v>
      </c>
      <c r="B16" s="58" t="str">
        <f>HYPERLINK("https://joinedupcarederbyshire.co.uk/","Derby and Derbyshire Integrated Care System")</f>
        <v>Derby and Derbyshire Integrated Care System</v>
      </c>
      <c r="C16" s="59" t="s">
        <v>648</v>
      </c>
      <c r="D16" s="58" t="s">
        <v>652</v>
      </c>
      <c r="E16" s="60" t="s">
        <v>903</v>
      </c>
    </row>
    <row r="17" spans="1:5" ht="15" customHeight="1" x14ac:dyDescent="0.3">
      <c r="A17" s="57">
        <v>16</v>
      </c>
      <c r="B17" s="58" t="str">
        <f>HYPERLINK("https://www.hwics.org.uk/","Herefordshire and Worcestershire Integrated Care System")</f>
        <v>Herefordshire and Worcestershire Integrated Care System</v>
      </c>
      <c r="C17" s="59" t="s">
        <v>648</v>
      </c>
      <c r="D17" s="58" t="s">
        <v>653</v>
      </c>
      <c r="E17" s="60" t="s">
        <v>903</v>
      </c>
    </row>
    <row r="18" spans="1:5" ht="15" customHeight="1" x14ac:dyDescent="0.3">
      <c r="A18" s="57">
        <v>17</v>
      </c>
      <c r="B18" s="58" t="str">
        <f>HYPERLINK("https://leicesterleicestershireandrutland.icb.nhs.uk/","Leicester, Leicestershire and Rutland Integrated Care System")</f>
        <v>Leicester, Leicestershire and Rutland Integrated Care System</v>
      </c>
      <c r="C18" s="59" t="s">
        <v>648</v>
      </c>
      <c r="D18" s="58" t="s">
        <v>654</v>
      </c>
      <c r="E18" s="60" t="s">
        <v>903</v>
      </c>
    </row>
    <row r="19" spans="1:5" ht="15" customHeight="1" x14ac:dyDescent="0.3">
      <c r="A19" s="57">
        <v>18</v>
      </c>
      <c r="B19" s="58" t="str">
        <f>HYPERLINK("https://lincolnshire.icb.nhs.uk/","Lincolnshire Integrated Care System")</f>
        <v>Lincolnshire Integrated Care System</v>
      </c>
      <c r="C19" s="59" t="s">
        <v>648</v>
      </c>
      <c r="D19" s="58" t="s">
        <v>655</v>
      </c>
      <c r="E19" s="60" t="s">
        <v>903</v>
      </c>
    </row>
    <row r="20" spans="1:5" ht="15" customHeight="1" x14ac:dyDescent="0.3">
      <c r="A20" s="57">
        <v>19</v>
      </c>
      <c r="B20" s="58" t="str">
        <f>HYPERLINK("https://www.icnorthamptonshire.org.uk/","Northamptonshire Integrated Care System")</f>
        <v>Northamptonshire Integrated Care System</v>
      </c>
      <c r="C20" s="59" t="s">
        <v>648</v>
      </c>
      <c r="D20" s="58" t="s">
        <v>656</v>
      </c>
      <c r="E20" s="60" t="s">
        <v>903</v>
      </c>
    </row>
    <row r="21" spans="1:5" ht="15" customHeight="1" x14ac:dyDescent="0.3">
      <c r="A21" s="57">
        <v>20</v>
      </c>
      <c r="B21" s="58" t="str">
        <f>HYPERLINK("https://healthandcarenotts.co.uk/","Nottingham and Nottinghamshire Integrated Care System")</f>
        <v>Nottingham and Nottinghamshire Integrated Care System</v>
      </c>
      <c r="C21" s="59" t="s">
        <v>648</v>
      </c>
      <c r="D21" s="58" t="s">
        <v>657</v>
      </c>
      <c r="E21" s="60" t="s">
        <v>903</v>
      </c>
    </row>
    <row r="22" spans="1:5" ht="15" customHeight="1" x14ac:dyDescent="0.3">
      <c r="A22" s="57">
        <v>21</v>
      </c>
      <c r="B22" s="58" t="str">
        <f>HYPERLINK("https://www.shropshiretelfordandwrekin.ics.nhs.uk/","Shropshire, Telford and Wrekin Integrated Care System")</f>
        <v>Shropshire, Telford and Wrekin Integrated Care System</v>
      </c>
      <c r="C22" s="59" t="s">
        <v>648</v>
      </c>
      <c r="D22" s="58" t="s">
        <v>658</v>
      </c>
      <c r="E22" s="60" t="s">
        <v>903</v>
      </c>
    </row>
    <row r="23" spans="1:5" ht="15" customHeight="1" x14ac:dyDescent="0.3">
      <c r="A23" s="57">
        <v>22</v>
      </c>
      <c r="B23" s="58" t="str">
        <f>HYPERLINK("https://staffsstokeics.org.uk/","Staffordshire and Stoke on Trent Integrated Care System")</f>
        <v>Staffordshire and Stoke on Trent Integrated Care System</v>
      </c>
      <c r="C23" s="59" t="s">
        <v>648</v>
      </c>
      <c r="D23" s="58" t="s">
        <v>659</v>
      </c>
      <c r="E23" s="60" t="s">
        <v>903</v>
      </c>
    </row>
    <row r="24" spans="1:5" ht="15" customHeight="1" x14ac:dyDescent="0.3">
      <c r="A24" s="57">
        <v>23</v>
      </c>
      <c r="B24" s="58" t="str">
        <f>HYPERLINK("https://humberandnorthyorkshire.icb.nhs.uk/","Humber and North Yorkshire Integrated Care System")</f>
        <v>Humber and North Yorkshire Integrated Care System</v>
      </c>
      <c r="C24" s="59" t="s">
        <v>660</v>
      </c>
      <c r="D24" s="58" t="s">
        <v>661</v>
      </c>
      <c r="E24" s="60" t="s">
        <v>903</v>
      </c>
    </row>
    <row r="25" spans="1:5" ht="15" customHeight="1" x14ac:dyDescent="0.3">
      <c r="A25" s="57">
        <v>24</v>
      </c>
      <c r="B25" s="58" t="str">
        <f>HYPERLINK("https://northeastnorthcumbria.nhs.uk/","North East and North Cumbria Integrated Care System")</f>
        <v>North East and North Cumbria Integrated Care System</v>
      </c>
      <c r="C25" s="59" t="s">
        <v>660</v>
      </c>
      <c r="D25" s="58" t="s">
        <v>662</v>
      </c>
      <c r="E25" s="60" t="s">
        <v>903</v>
      </c>
    </row>
    <row r="26" spans="1:5" ht="15" customHeight="1" x14ac:dyDescent="0.3">
      <c r="A26" s="57">
        <v>25</v>
      </c>
      <c r="B26" s="58" t="str">
        <f>HYPERLINK("https://syics.co.uk/","South Yorkshire Integrated Care System")</f>
        <v>South Yorkshire Integrated Care System</v>
      </c>
      <c r="C26" s="59" t="s">
        <v>660</v>
      </c>
      <c r="D26" s="58" t="s">
        <v>663</v>
      </c>
      <c r="E26" s="60" t="s">
        <v>903</v>
      </c>
    </row>
    <row r="27" spans="1:5" ht="15" customHeight="1" x14ac:dyDescent="0.3">
      <c r="A27" s="57">
        <v>26</v>
      </c>
      <c r="B27" s="58" t="str">
        <f>HYPERLINK("https://www.westyorkshire.icb.nhs.uk/","West Yorkshire Integrated Care System")</f>
        <v>West Yorkshire Integrated Care System</v>
      </c>
      <c r="C27" s="59" t="s">
        <v>660</v>
      </c>
      <c r="D27" s="58" t="s">
        <v>664</v>
      </c>
      <c r="E27" s="60" t="s">
        <v>903</v>
      </c>
    </row>
    <row r="28" spans="1:5" ht="15" customHeight="1" x14ac:dyDescent="0.3">
      <c r="A28" s="57">
        <v>27</v>
      </c>
      <c r="B28" s="58" t="str">
        <f>HYPERLINK("https://www.cheshireandmerseyside.nhs.uk/","Cheshire and Merseyside Integrated Care System")</f>
        <v>Cheshire and Merseyside Integrated Care System</v>
      </c>
      <c r="C28" s="59" t="s">
        <v>665</v>
      </c>
      <c r="D28" s="58" t="s">
        <v>666</v>
      </c>
      <c r="E28" s="60" t="s">
        <v>903</v>
      </c>
    </row>
    <row r="29" spans="1:5" ht="15" customHeight="1" x14ac:dyDescent="0.3">
      <c r="A29" s="57">
        <v>28</v>
      </c>
      <c r="B29" s="58" t="str">
        <f>HYPERLINK("https://gmintegratedcare.org.uk/","Greater Manchester Integrated Care System")</f>
        <v>Greater Manchester Integrated Care System</v>
      </c>
      <c r="C29" s="59" t="s">
        <v>665</v>
      </c>
      <c r="D29" s="58" t="s">
        <v>667</v>
      </c>
      <c r="E29" s="60" t="s">
        <v>903</v>
      </c>
    </row>
    <row r="30" spans="1:5" ht="15" customHeight="1" x14ac:dyDescent="0.3">
      <c r="A30" s="57">
        <v>29</v>
      </c>
      <c r="B30" s="58" t="str">
        <f>HYPERLINK("https://www.healthierlsc.co.uk/","Lancashire and South Cumbria Integrated Care System")</f>
        <v>Lancashire and South Cumbria Integrated Care System</v>
      </c>
      <c r="C30" s="59" t="s">
        <v>665</v>
      </c>
      <c r="D30" s="58" t="s">
        <v>668</v>
      </c>
      <c r="E30" s="60" t="s">
        <v>903</v>
      </c>
    </row>
    <row r="31" spans="1:5" ht="15" customHeight="1" x14ac:dyDescent="0.3">
      <c r="A31" s="57">
        <v>30</v>
      </c>
      <c r="B31" s="58" t="str">
        <f>HYPERLINK("https://www.bucksoxonberksw.icb.nhs.uk/","Buckinghamshire, Oxfordshire and Berkshire West Integrated Care System")</f>
        <v>Buckinghamshire, Oxfordshire and Berkshire West Integrated Care System</v>
      </c>
      <c r="C31" s="59" t="s">
        <v>669</v>
      </c>
      <c r="D31" s="58" t="s">
        <v>670</v>
      </c>
      <c r="E31" s="60" t="s">
        <v>903</v>
      </c>
    </row>
    <row r="32" spans="1:5" ht="15" customHeight="1" x14ac:dyDescent="0.3">
      <c r="A32" s="57">
        <v>31</v>
      </c>
      <c r="B32" s="58" t="str">
        <f>HYPERLINK("https://www.hantsiowhealthandcare.org.uk/","Hampshire and Isle of Wight Integrated Care System")</f>
        <v>Hampshire and Isle of Wight Integrated Care System</v>
      </c>
      <c r="C32" s="59" t="s">
        <v>669</v>
      </c>
      <c r="D32" s="58" t="s">
        <v>671</v>
      </c>
      <c r="E32" s="60" t="s">
        <v>903</v>
      </c>
    </row>
    <row r="33" spans="1:5" ht="15" customHeight="1" x14ac:dyDescent="0.3">
      <c r="A33" s="57">
        <v>32</v>
      </c>
      <c r="B33" s="58" t="str">
        <f>HYPERLINK("https://www.surreyheartlands.org/","Surrey Heartlands Integrated Care System")</f>
        <v>Surrey Heartlands Integrated Care System</v>
      </c>
      <c r="C33" s="59" t="s">
        <v>669</v>
      </c>
      <c r="D33" s="58" t="s">
        <v>672</v>
      </c>
      <c r="E33" s="60" t="s">
        <v>903</v>
      </c>
    </row>
    <row r="34" spans="1:5" ht="15" customHeight="1" x14ac:dyDescent="0.3">
      <c r="A34" s="57">
        <v>33</v>
      </c>
      <c r="B34" s="58" t="str">
        <f>HYPERLINK("https://www.sussex.ics.nhs.uk/","Sussex Integrated Care System")</f>
        <v>Sussex Integrated Care System</v>
      </c>
      <c r="C34" s="59" t="s">
        <v>669</v>
      </c>
      <c r="D34" s="58" t="s">
        <v>673</v>
      </c>
      <c r="E34" s="60" t="s">
        <v>903</v>
      </c>
    </row>
    <row r="35" spans="1:5" ht="15" customHeight="1" x14ac:dyDescent="0.3">
      <c r="A35" s="57">
        <v>34</v>
      </c>
      <c r="B35" s="58" t="str">
        <f>HYPERLINK("https://www.frimleyhealthandcare.org.uk/","Frimley Integrated Care System")</f>
        <v>Frimley Integrated Care System</v>
      </c>
      <c r="C35" s="59" t="s">
        <v>674</v>
      </c>
      <c r="D35" s="58" t="s">
        <v>675</v>
      </c>
      <c r="E35" s="60" t="s">
        <v>903</v>
      </c>
    </row>
    <row r="36" spans="1:5" ht="15" customHeight="1" x14ac:dyDescent="0.3">
      <c r="A36" s="57">
        <v>35</v>
      </c>
      <c r="B36" s="58" t="str">
        <f>HYPERLINK("https://www.kmhealthandcare.uk/","Kent and Medway Integrated Care System")</f>
        <v>Kent and Medway Integrated Care System</v>
      </c>
      <c r="C36" s="59" t="s">
        <v>674</v>
      </c>
      <c r="D36" s="58" t="s">
        <v>676</v>
      </c>
      <c r="E36" s="60" t="s">
        <v>903</v>
      </c>
    </row>
    <row r="37" spans="1:5" ht="15" customHeight="1" x14ac:dyDescent="0.3">
      <c r="A37" s="57">
        <v>36</v>
      </c>
      <c r="B37" s="58" t="str">
        <f>HYPERLINK("https://bswtogether.org.uk/","Bath and North East Somerset, Swindon and Wiltshire Integrated Care System")</f>
        <v>Bath and North East Somerset, Swindon and Wiltshire Integrated Care System</v>
      </c>
      <c r="C37" s="59" t="s">
        <v>677</v>
      </c>
      <c r="D37" s="58" t="s">
        <v>678</v>
      </c>
      <c r="E37" s="60" t="s">
        <v>903</v>
      </c>
    </row>
    <row r="38" spans="1:5" ht="15" customHeight="1" x14ac:dyDescent="0.3">
      <c r="A38" s="57">
        <v>37</v>
      </c>
      <c r="B38" s="58" t="str">
        <f>HYPERLINK("https://bnssg.icb.nhs.uk/","Bristol, North Somerset and South Gloucestershire Integrated Care System")</f>
        <v>Bristol, North Somerset and South Gloucestershire Integrated Care System</v>
      </c>
      <c r="C38" s="59" t="s">
        <v>677</v>
      </c>
      <c r="D38" s="58" t="s">
        <v>679</v>
      </c>
      <c r="E38" s="60" t="s">
        <v>903</v>
      </c>
    </row>
    <row r="39" spans="1:5" ht="15" customHeight="1" x14ac:dyDescent="0.3">
      <c r="A39" s="57">
        <v>38</v>
      </c>
      <c r="B39" s="58" t="str">
        <f>HYPERLINK("https://cios.icb.nhs.uk/","Cornwall and the Isles of Scilly Integrated Care System")</f>
        <v>Cornwall and the Isles of Scilly Integrated Care System</v>
      </c>
      <c r="C39" s="59" t="s">
        <v>677</v>
      </c>
      <c r="D39" s="58" t="s">
        <v>680</v>
      </c>
      <c r="E39" s="60" t="s">
        <v>903</v>
      </c>
    </row>
    <row r="40" spans="1:5" ht="15" customHeight="1" x14ac:dyDescent="0.3">
      <c r="A40" s="57">
        <v>39</v>
      </c>
      <c r="B40" s="58" t="str">
        <f>HYPERLINK("https://onedevon.org.uk/","Devon Integrated Care System")</f>
        <v>Devon Integrated Care System</v>
      </c>
      <c r="C40" s="59" t="s">
        <v>677</v>
      </c>
      <c r="D40" s="58" t="s">
        <v>681</v>
      </c>
      <c r="E40" s="60" t="s">
        <v>903</v>
      </c>
    </row>
    <row r="41" spans="1:5" ht="15" customHeight="1" x14ac:dyDescent="0.3">
      <c r="A41" s="57">
        <v>40</v>
      </c>
      <c r="B41" s="58" t="str">
        <f>HYPERLINK("https://nhsdorset.nhs.uk/","Dorset Integrated Care System")</f>
        <v>Dorset Integrated Care System</v>
      </c>
      <c r="C41" s="59" t="s">
        <v>677</v>
      </c>
      <c r="D41" s="58" t="s">
        <v>682</v>
      </c>
      <c r="E41" s="60" t="s">
        <v>903</v>
      </c>
    </row>
    <row r="42" spans="1:5" ht="15" customHeight="1" x14ac:dyDescent="0.3">
      <c r="A42" s="57">
        <v>41</v>
      </c>
      <c r="B42" s="58" t="str">
        <f>HYPERLINK("https://www.onegloucestershire.net/","Gloucestershire Integrated Care System")</f>
        <v>Gloucestershire Integrated Care System</v>
      </c>
      <c r="C42" s="59" t="s">
        <v>677</v>
      </c>
      <c r="D42" s="58" t="s">
        <v>683</v>
      </c>
      <c r="E42" s="60" t="s">
        <v>903</v>
      </c>
    </row>
    <row r="43" spans="1:5" ht="15" customHeight="1" x14ac:dyDescent="0.3">
      <c r="A43" s="57">
        <v>42</v>
      </c>
      <c r="B43" s="58" t="str">
        <f>HYPERLINK("https://nhssomerset.nhs.uk/about-us/integrated-care-in-somerset/","Somerset Integrated Care System")</f>
        <v>Somerset Integrated Care System</v>
      </c>
      <c r="C43" s="59" t="s">
        <v>677</v>
      </c>
      <c r="D43" s="58" t="s">
        <v>684</v>
      </c>
      <c r="E43" s="60" t="s">
        <v>903</v>
      </c>
    </row>
  </sheetData>
  <autoFilter ref="A1:D43"/>
  <hyperlinks>
    <hyperlink ref="D3" r:id="rId1"/>
    <hyperlink ref="D2" r:id="rId2"/>
    <hyperlink ref="D4" r:id="rId3"/>
    <hyperlink ref="D5" r:id="rId4"/>
    <hyperlink ref="D6" r:id="rId5"/>
    <hyperlink ref="D7" r:id="rId6"/>
    <hyperlink ref="D12" r:id="rId7"/>
    <hyperlink ref="D8" r:id="rId8"/>
    <hyperlink ref="D10" r:id="rId9"/>
    <hyperlink ref="D11" r:id="rId10"/>
    <hyperlink ref="D9" r:id="rId11"/>
    <hyperlink ref="D13" r:id="rId12"/>
    <hyperlink ref="D14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15" r:id="rId22"/>
    <hyperlink ref="D24" r:id="rId23"/>
    <hyperlink ref="D25" r:id="rId24"/>
    <hyperlink ref="D27" r:id="rId25"/>
    <hyperlink ref="D26" r:id="rId26"/>
    <hyperlink ref="D30" r:id="rId27"/>
    <hyperlink ref="D28" r:id="rId28"/>
    <hyperlink ref="D29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  <hyperlink ref="D40" r:id="rId39"/>
    <hyperlink ref="D41" r:id="rId40"/>
    <hyperlink ref="D43" r:id="rId41"/>
    <hyperlink ref="D42" r:id="rId42"/>
  </hyperlinks>
  <pageMargins left="0.7" right="0.7" top="0.75" bottom="0.75" header="0.3" footer="0.3"/>
  <pageSetup orientation="portrait" r:id="rId4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activeCell="C5" sqref="C5"/>
    </sheetView>
  </sheetViews>
  <sheetFormatPr defaultColWidth="9.1796875" defaultRowHeight="12.5" x14ac:dyDescent="0.25"/>
  <cols>
    <col min="1" max="1" width="6.1796875" style="35" customWidth="1"/>
    <col min="2" max="2" width="60.54296875" style="35" customWidth="1"/>
    <col min="3" max="4" width="15.54296875" style="35" customWidth="1"/>
    <col min="5" max="5" width="18" style="35" customWidth="1"/>
    <col min="6" max="6" width="44.1796875" style="35" customWidth="1"/>
    <col min="7" max="7" width="22.453125" style="35" customWidth="1"/>
    <col min="8" max="8" width="42.453125" style="35" bestFit="1" customWidth="1"/>
    <col min="9" max="16384" width="9.1796875" style="35"/>
  </cols>
  <sheetData>
    <row r="1" spans="1:8" ht="25" customHeight="1" x14ac:dyDescent="0.25">
      <c r="A1" s="100" t="s">
        <v>4</v>
      </c>
      <c r="B1" s="100"/>
      <c r="C1" s="100"/>
      <c r="D1" s="100"/>
      <c r="E1" s="100"/>
      <c r="F1" s="100"/>
      <c r="G1" s="100"/>
      <c r="H1" s="101"/>
    </row>
    <row r="2" spans="1:8" ht="15" customHeight="1" x14ac:dyDescent="0.25">
      <c r="A2" s="102" t="s">
        <v>7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/>
      <c r="B3" s="106"/>
      <c r="C3" s="106"/>
      <c r="D3" s="106"/>
      <c r="E3" s="106"/>
      <c r="F3" s="106"/>
      <c r="G3" s="107"/>
      <c r="H3" s="108"/>
    </row>
    <row r="4" spans="1:8" ht="28.5" customHeight="1" x14ac:dyDescent="0.25">
      <c r="A4" s="36" t="s">
        <v>14</v>
      </c>
      <c r="B4" s="37" t="s">
        <v>1020</v>
      </c>
      <c r="C4" s="36" t="s">
        <v>19</v>
      </c>
      <c r="D4" s="36" t="s">
        <v>20</v>
      </c>
      <c r="E4" s="36" t="s">
        <v>1021</v>
      </c>
      <c r="F4" s="36" t="s">
        <v>16</v>
      </c>
      <c r="G4" s="37" t="s">
        <v>902</v>
      </c>
      <c r="H4" s="37" t="s">
        <v>3</v>
      </c>
    </row>
    <row r="5" spans="1:8" s="40" customFormat="1" ht="16" customHeight="1" x14ac:dyDescent="0.35">
      <c r="A5" s="38">
        <v>1</v>
      </c>
      <c r="B5" s="8" t="str">
        <f>HYPERLINK("https://ga2len-adcare.net/","GA²LEN Atopic Dermatitis Centres of Reference and Excellence")</f>
        <v>GA²LEN Atopic Dermatitis Centres of Reference and Excellence</v>
      </c>
      <c r="C5" s="39" t="s">
        <v>30</v>
      </c>
      <c r="D5" s="39" t="s">
        <v>30</v>
      </c>
      <c r="E5" s="39" t="s">
        <v>197</v>
      </c>
      <c r="F5" s="8" t="s">
        <v>1022</v>
      </c>
      <c r="G5" s="39" t="s">
        <v>197</v>
      </c>
      <c r="H5" s="39"/>
    </row>
    <row r="6" spans="1:8" s="40" customFormat="1" ht="16" customHeight="1" x14ac:dyDescent="0.35">
      <c r="A6" s="38">
        <v>2</v>
      </c>
      <c r="B6" s="8" t="str">
        <f>HYPERLINK("https://bwc.nhs.uk/dermatology/","Dermatology Service, Birmingham Women’s and Children’s NHS Foundation Trust")</f>
        <v>Dermatology Service, Birmingham Women’s and Children’s NHS Foundation Trust</v>
      </c>
      <c r="C6" s="39" t="s">
        <v>31</v>
      </c>
      <c r="D6" s="39" t="s">
        <v>32</v>
      </c>
      <c r="E6" s="39" t="s">
        <v>1023</v>
      </c>
      <c r="F6" s="8" t="s">
        <v>1024</v>
      </c>
      <c r="G6" s="39" t="s">
        <v>197</v>
      </c>
      <c r="H6" s="39"/>
    </row>
    <row r="7" spans="1:8" s="40" customFormat="1" ht="16" customHeight="1" x14ac:dyDescent="0.35">
      <c r="A7" s="38">
        <v>3</v>
      </c>
      <c r="B7" s="8" t="str">
        <f>HYPERLINK("https://www.kingedwardvii.co.uk/services/dermatology","Dermatology Service, King Edward VII’s Hospital")</f>
        <v>Dermatology Service, King Edward VII’s Hospital</v>
      </c>
      <c r="C7" s="39" t="s">
        <v>31</v>
      </c>
      <c r="D7" s="39" t="s">
        <v>32</v>
      </c>
      <c r="E7" s="39" t="s">
        <v>1025</v>
      </c>
      <c r="F7" s="8" t="s">
        <v>1026</v>
      </c>
      <c r="G7" s="39" t="s">
        <v>906</v>
      </c>
      <c r="H7" s="39"/>
    </row>
    <row r="8" spans="1:8" s="40" customFormat="1" ht="16" customHeight="1" x14ac:dyDescent="0.35">
      <c r="A8" s="38">
        <v>4</v>
      </c>
      <c r="B8" s="8" t="str">
        <f>HYPERLINK("https://www.phoenixhospitalgroup.com/our-services/dermatology/","Dermatology Service, Phoenix Hospital Group")</f>
        <v>Dermatology Service, Phoenix Hospital Group</v>
      </c>
      <c r="C8" s="39" t="s">
        <v>31</v>
      </c>
      <c r="D8" s="39" t="s">
        <v>32</v>
      </c>
      <c r="E8" s="39" t="s">
        <v>200</v>
      </c>
      <c r="F8" s="8" t="s">
        <v>1027</v>
      </c>
      <c r="G8" s="39" t="s">
        <v>197</v>
      </c>
      <c r="H8" s="39"/>
    </row>
    <row r="9" spans="1:8" s="40" customFormat="1" ht="16" customHeight="1" x14ac:dyDescent="0.35">
      <c r="A9" s="38">
        <v>5</v>
      </c>
      <c r="B9" s="8" t="str">
        <f>HYPERLINK("https://www.stjohnsdermacademy.com/about","St John’s Institute of Dermatology, Guy’s and St Thomas’ Hospital")</f>
        <v>St John’s Institute of Dermatology, Guy’s and St Thomas’ Hospital</v>
      </c>
      <c r="C9" s="39" t="s">
        <v>31</v>
      </c>
      <c r="D9" s="39" t="s">
        <v>32</v>
      </c>
      <c r="E9" s="39" t="s">
        <v>906</v>
      </c>
      <c r="F9" s="8" t="s">
        <v>1028</v>
      </c>
      <c r="G9" s="39" t="s">
        <v>906</v>
      </c>
      <c r="H9" s="39"/>
    </row>
    <row r="10" spans="1:8" s="40" customFormat="1" ht="16" customHeight="1" x14ac:dyDescent="0.35">
      <c r="A10" s="38">
        <v>6</v>
      </c>
      <c r="B10" s="8" t="str">
        <f>HYPERLINK("https://instituteofdermatologists.ie/","Institute of Dermatologists")</f>
        <v>Institute of Dermatologists</v>
      </c>
      <c r="C10" s="39" t="s">
        <v>31</v>
      </c>
      <c r="D10" s="39" t="s">
        <v>137</v>
      </c>
      <c r="E10" s="39" t="s">
        <v>1025</v>
      </c>
      <c r="F10" s="8" t="s">
        <v>1029</v>
      </c>
      <c r="G10" s="39" t="s">
        <v>906</v>
      </c>
      <c r="H10" s="39"/>
    </row>
    <row r="11" spans="1:8" s="40" customFormat="1" ht="16" customHeight="1" x14ac:dyDescent="0.35">
      <c r="A11" s="38">
        <v>7</v>
      </c>
      <c r="B11" s="8" t="str">
        <f>HYPERLINK("https://belfastskinclinic.com/","Belfast Skin Clinic")</f>
        <v>Belfast Skin Clinic</v>
      </c>
      <c r="C11" s="39" t="s">
        <v>31</v>
      </c>
      <c r="D11" s="39" t="s">
        <v>68</v>
      </c>
      <c r="E11" s="39" t="s">
        <v>200</v>
      </c>
      <c r="F11" s="8" t="s">
        <v>1030</v>
      </c>
      <c r="G11" s="39" t="s">
        <v>197</v>
      </c>
      <c r="H11" s="39"/>
    </row>
  </sheetData>
  <autoFilter ref="A4:H4"/>
  <sortState ref="A5:H11">
    <sortCondition ref="C5:C11"/>
    <sortCondition ref="D5:D11"/>
    <sortCondition ref="B5:B11"/>
  </sortState>
  <mergeCells count="2">
    <mergeCell ref="A1:H1"/>
    <mergeCell ref="A2:H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</hyperlinks>
  <pageMargins left="0.7" right="0.7" top="0.75" bottom="0.75" header="0.3" footer="0.3"/>
  <pageSetup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showGridLines="0" zoomScaleNormal="100" workbookViewId="0">
      <pane xSplit="2" ySplit="4" topLeftCell="C5" activePane="bottomRight" state="frozen"/>
      <selection activeCell="E4" sqref="E4"/>
      <selection pane="topRight" activeCell="E4" sqref="E4"/>
      <selection pane="bottomLeft" activeCell="E4" sqref="E4"/>
      <selection pane="bottomRight" activeCell="C5" sqref="C5"/>
    </sheetView>
  </sheetViews>
  <sheetFormatPr defaultColWidth="9.1796875" defaultRowHeight="12.5" x14ac:dyDescent="0.25"/>
  <cols>
    <col min="1" max="1" width="6.1796875" style="41" customWidth="1"/>
    <col min="2" max="2" width="70.81640625" style="41" customWidth="1"/>
    <col min="3" max="4" width="14.1796875" style="41" customWidth="1"/>
    <col min="5" max="8" width="22.81640625" style="41" customWidth="1"/>
    <col min="9" max="16384" width="9.1796875" style="41"/>
  </cols>
  <sheetData>
    <row r="1" spans="1:8" ht="25.4" customHeight="1" x14ac:dyDescent="0.25">
      <c r="A1" s="109" t="s">
        <v>4</v>
      </c>
      <c r="B1" s="110"/>
      <c r="C1" s="110"/>
      <c r="D1" s="110"/>
      <c r="E1" s="110"/>
      <c r="F1" s="110"/>
      <c r="G1" s="110"/>
      <c r="H1" s="110"/>
    </row>
    <row r="2" spans="1:8" ht="15" customHeight="1" x14ac:dyDescent="0.25">
      <c r="A2" s="111" t="s">
        <v>1</v>
      </c>
      <c r="B2" s="112"/>
      <c r="C2" s="112"/>
      <c r="D2" s="112"/>
      <c r="E2" s="112"/>
      <c r="F2" s="112"/>
      <c r="G2" s="112"/>
      <c r="H2" s="112"/>
    </row>
    <row r="3" spans="1:8" ht="15" customHeight="1" x14ac:dyDescent="0.25">
      <c r="A3" s="112"/>
      <c r="B3" s="112"/>
      <c r="C3" s="112"/>
      <c r="D3" s="112"/>
      <c r="E3" s="112"/>
      <c r="F3" s="112"/>
      <c r="G3" s="112"/>
      <c r="H3" s="112"/>
    </row>
    <row r="4" spans="1:8" ht="28.5" customHeight="1" x14ac:dyDescent="0.25">
      <c r="A4" s="36" t="s">
        <v>14</v>
      </c>
      <c r="B4" s="37" t="s">
        <v>1020</v>
      </c>
      <c r="C4" s="36" t="s">
        <v>19</v>
      </c>
      <c r="D4" s="36" t="s">
        <v>20</v>
      </c>
      <c r="E4" s="36" t="s">
        <v>16</v>
      </c>
      <c r="F4" s="37" t="s">
        <v>1031</v>
      </c>
      <c r="G4" s="47" t="s">
        <v>902</v>
      </c>
      <c r="H4" s="37" t="s">
        <v>3</v>
      </c>
    </row>
    <row r="5" spans="1:8" ht="16" customHeight="1" x14ac:dyDescent="0.25">
      <c r="A5" s="42">
        <v>1</v>
      </c>
      <c r="B5" s="8" t="str">
        <f>HYPERLINK("https://onewelbeck.com/dermatology-allergy/our-team/dermatology-team/","Allergy &amp; Dermatology Service, OneWelbeck Group")</f>
        <v>Allergy &amp; Dermatology Service, OneWelbeck Group</v>
      </c>
      <c r="C5" s="43" t="s">
        <v>31</v>
      </c>
      <c r="D5" s="43" t="s">
        <v>32</v>
      </c>
      <c r="E5" s="8" t="s">
        <v>1032</v>
      </c>
      <c r="F5" s="44" t="s">
        <v>1331</v>
      </c>
      <c r="G5" s="44" t="s">
        <v>906</v>
      </c>
      <c r="H5" s="8"/>
    </row>
    <row r="6" spans="1:8" ht="16" customHeight="1" x14ac:dyDescent="0.25">
      <c r="A6" s="42">
        <v>2</v>
      </c>
      <c r="B6" s="8" t="str">
        <f>HYPERLINK("https://www.birminghamdermatologyclinic.co.uk/skin-treatments/skin-conditions/","Birmingham Dermatology Clinic")</f>
        <v>Birmingham Dermatology Clinic</v>
      </c>
      <c r="C6" s="43" t="s">
        <v>31</v>
      </c>
      <c r="D6" s="43" t="s">
        <v>32</v>
      </c>
      <c r="E6" s="8" t="s">
        <v>1033</v>
      </c>
      <c r="F6" s="44" t="s">
        <v>1331</v>
      </c>
      <c r="G6" s="44" t="s">
        <v>906</v>
      </c>
      <c r="H6" s="8"/>
    </row>
    <row r="7" spans="1:8" ht="16" customHeight="1" x14ac:dyDescent="0.25">
      <c r="A7" s="42">
        <v>3</v>
      </c>
      <c r="B7" s="8" t="str">
        <f>HYPERLINK("https://www.cadoganclinic.com/skin-clinic-london/","Cadogan Clinic")</f>
        <v>Cadogan Clinic</v>
      </c>
      <c r="C7" s="43" t="s">
        <v>31</v>
      </c>
      <c r="D7" s="43" t="s">
        <v>32</v>
      </c>
      <c r="E7" s="8" t="s">
        <v>1034</v>
      </c>
      <c r="F7" s="44" t="s">
        <v>1331</v>
      </c>
      <c r="G7" s="44" t="s">
        <v>906</v>
      </c>
      <c r="H7" s="8"/>
    </row>
    <row r="8" spans="1:8" ht="16" customHeight="1" x14ac:dyDescent="0.25">
      <c r="A8" s="42">
        <v>4</v>
      </c>
      <c r="B8" s="8" t="str">
        <f>HYPERLINK("https://cedarsderm.co.uk/","Cedars Dermatology Clinic London")</f>
        <v>Cedars Dermatology Clinic London</v>
      </c>
      <c r="C8" s="43" t="s">
        <v>31</v>
      </c>
      <c r="D8" s="43" t="s">
        <v>32</v>
      </c>
      <c r="E8" s="8" t="s">
        <v>1035</v>
      </c>
      <c r="F8" s="44" t="s">
        <v>1331</v>
      </c>
      <c r="G8" s="44" t="s">
        <v>906</v>
      </c>
      <c r="H8" s="8"/>
    </row>
    <row r="9" spans="1:8" ht="16" customHeight="1" x14ac:dyDescent="0.25">
      <c r="A9" s="42">
        <v>5</v>
      </c>
      <c r="B9" s="8" t="str">
        <f>HYPERLINK("http://skincanceruk.com/general-dermatology/","Chiltern Skin Clinic")</f>
        <v>Chiltern Skin Clinic</v>
      </c>
      <c r="C9" s="43" t="s">
        <v>31</v>
      </c>
      <c r="D9" s="43" t="s">
        <v>32</v>
      </c>
      <c r="E9" s="8" t="s">
        <v>1036</v>
      </c>
      <c r="F9" s="44" t="s">
        <v>1331</v>
      </c>
      <c r="G9" s="44" t="s">
        <v>906</v>
      </c>
      <c r="H9" s="8"/>
    </row>
    <row r="10" spans="1:8" ht="16" customHeight="1" x14ac:dyDescent="0.25">
      <c r="A10" s="42">
        <v>6</v>
      </c>
      <c r="B10" s="8" t="str">
        <f>HYPERLINK("https://www.cotswoldsurgicalpartners.co.uk/our-services/consultant-dermatology/","Consultant-led Medical Dermatology at Cotswold Surgical Partners")</f>
        <v>Consultant-led Medical Dermatology at Cotswold Surgical Partners</v>
      </c>
      <c r="C10" s="43" t="s">
        <v>31</v>
      </c>
      <c r="D10" s="43" t="s">
        <v>32</v>
      </c>
      <c r="E10" s="8" t="s">
        <v>1330</v>
      </c>
      <c r="F10" s="44" t="s">
        <v>1331</v>
      </c>
      <c r="G10" s="44" t="s">
        <v>906</v>
      </c>
      <c r="H10" s="8"/>
    </row>
    <row r="11" spans="1:8" ht="16" customHeight="1" x14ac:dyDescent="0.25">
      <c r="A11" s="42">
        <v>7</v>
      </c>
      <c r="B11" s="8" t="str">
        <f>HYPERLINK("https://www.dermareading.co.uk/conditions","Derma Reading")</f>
        <v>Derma Reading</v>
      </c>
      <c r="C11" s="43" t="s">
        <v>31</v>
      </c>
      <c r="D11" s="43" t="s">
        <v>32</v>
      </c>
      <c r="E11" s="8" t="s">
        <v>1321</v>
      </c>
      <c r="F11" s="44" t="s">
        <v>1331</v>
      </c>
      <c r="G11" s="44" t="s">
        <v>906</v>
      </c>
      <c r="H11" s="8"/>
    </row>
    <row r="12" spans="1:8" ht="16" customHeight="1" x14ac:dyDescent="0.25">
      <c r="A12" s="42">
        <v>8</v>
      </c>
      <c r="B12" s="8" t="str">
        <f>HYPERLINK("https://www.dermacore.co.uk/private-dermatology/","Dermacore")</f>
        <v>Dermacore</v>
      </c>
      <c r="C12" s="43" t="s">
        <v>31</v>
      </c>
      <c r="D12" s="43" t="s">
        <v>32</v>
      </c>
      <c r="E12" s="8" t="s">
        <v>1320</v>
      </c>
      <c r="F12" s="44" t="s">
        <v>1331</v>
      </c>
      <c r="G12" s="44" t="s">
        <v>906</v>
      </c>
      <c r="H12" s="8"/>
    </row>
    <row r="13" spans="1:8" ht="16" customHeight="1" x14ac:dyDescent="0.25">
      <c r="A13" s="42">
        <v>9</v>
      </c>
      <c r="B13" s="8" t="str">
        <f>HYPERLINK("https://dermaperfect.co.uk/about-dermaperfect/","Dermaperfect")</f>
        <v>Dermaperfect</v>
      </c>
      <c r="C13" s="43" t="s">
        <v>31</v>
      </c>
      <c r="D13" s="43" t="s">
        <v>32</v>
      </c>
      <c r="E13" s="8" t="s">
        <v>1037</v>
      </c>
      <c r="F13" s="44" t="s">
        <v>1331</v>
      </c>
      <c r="G13" s="44" t="s">
        <v>1038</v>
      </c>
      <c r="H13" s="8"/>
    </row>
    <row r="14" spans="1:8" ht="16" customHeight="1" x14ac:dyDescent="0.25">
      <c r="A14" s="42">
        <v>10</v>
      </c>
      <c r="B14" s="8" t="str">
        <f>HYPERLINK("https://www.dermasurge.co.uk/","Dermasurge Clinic")</f>
        <v>Dermasurge Clinic</v>
      </c>
      <c r="C14" s="43" t="s">
        <v>31</v>
      </c>
      <c r="D14" s="43" t="s">
        <v>32</v>
      </c>
      <c r="E14" s="8" t="s">
        <v>1315</v>
      </c>
      <c r="F14" s="44" t="s">
        <v>1331</v>
      </c>
      <c r="G14" s="44" t="s">
        <v>906</v>
      </c>
      <c r="H14" s="8"/>
    </row>
    <row r="15" spans="1:8" ht="16" customHeight="1" x14ac:dyDescent="0.25">
      <c r="A15" s="42">
        <v>11</v>
      </c>
      <c r="B15" s="8" t="str">
        <f>HYPERLINK("https://midlandhealth.co.uk/dermatology/dermatology-consultations/","Dermatology Consultations, Midland Health")</f>
        <v>Dermatology Consultations, Midland Health</v>
      </c>
      <c r="C15" s="43" t="s">
        <v>31</v>
      </c>
      <c r="D15" s="43" t="s">
        <v>32</v>
      </c>
      <c r="E15" s="8" t="s">
        <v>1326</v>
      </c>
      <c r="F15" s="44" t="s">
        <v>1331</v>
      </c>
      <c r="G15" s="44" t="s">
        <v>906</v>
      </c>
      <c r="H15" s="8"/>
    </row>
    <row r="16" spans="1:8" ht="16" customHeight="1" x14ac:dyDescent="0.25">
      <c r="A16" s="42">
        <v>12</v>
      </c>
      <c r="B16" s="8" t="str">
        <f>HYPERLINK("https://www.dermatologyconsulting.co.uk/","Dermatology Consulting")</f>
        <v>Dermatology Consulting</v>
      </c>
      <c r="C16" s="43" t="s">
        <v>31</v>
      </c>
      <c r="D16" s="43" t="s">
        <v>32</v>
      </c>
      <c r="E16" s="8" t="s">
        <v>1039</v>
      </c>
      <c r="F16" s="44" t="s">
        <v>1331</v>
      </c>
      <c r="G16" s="44" t="s">
        <v>904</v>
      </c>
      <c r="H16" s="8"/>
    </row>
    <row r="17" spans="1:8" ht="16" customHeight="1" x14ac:dyDescent="0.25">
      <c r="A17" s="42">
        <v>13</v>
      </c>
      <c r="B17" s="8" t="str">
        <f>HYPERLINK("https://www.ashteadhospital.co.uk/treatments/dermatology","Dermatology Service, Ashtead Hospital")</f>
        <v>Dermatology Service, Ashtead Hospital</v>
      </c>
      <c r="C17" s="43" t="s">
        <v>31</v>
      </c>
      <c r="D17" s="43" t="s">
        <v>32</v>
      </c>
      <c r="E17" s="8" t="s">
        <v>1040</v>
      </c>
      <c r="F17" s="44" t="s">
        <v>1331</v>
      </c>
      <c r="G17" s="44" t="s">
        <v>904</v>
      </c>
      <c r="H17" s="8"/>
    </row>
    <row r="18" spans="1:8" ht="16" customHeight="1" x14ac:dyDescent="0.25">
      <c r="A18" s="42">
        <v>14</v>
      </c>
      <c r="B18" s="8" t="str">
        <f>HYPERLINK("https://www.circlehealthgroup.co.uk/hospitals/bath-clinic/private-dermatology-bath","Dermatology Service, Bath Clinic")</f>
        <v>Dermatology Service, Bath Clinic</v>
      </c>
      <c r="C18" s="43" t="s">
        <v>31</v>
      </c>
      <c r="D18" s="43" t="s">
        <v>32</v>
      </c>
      <c r="E18" s="8" t="s">
        <v>1041</v>
      </c>
      <c r="F18" s="44" t="s">
        <v>1331</v>
      </c>
      <c r="G18" s="44" t="s">
        <v>906</v>
      </c>
      <c r="H18" s="8"/>
    </row>
    <row r="19" spans="1:8" ht="16" customHeight="1" x14ac:dyDescent="0.25">
      <c r="A19" s="42">
        <v>15</v>
      </c>
      <c r="B19" s="8" t="str">
        <f>HYPERLINK("https://www.beaconparkhospital.co.uk/specialists?query=dermatology","Dermatology Service, Beacon Park Hospital")</f>
        <v>Dermatology Service, Beacon Park Hospital</v>
      </c>
      <c r="C19" s="43" t="s">
        <v>31</v>
      </c>
      <c r="D19" s="43" t="s">
        <v>32</v>
      </c>
      <c r="E19" s="8" t="s">
        <v>1042</v>
      </c>
      <c r="F19" s="44" t="s">
        <v>1331</v>
      </c>
      <c r="G19" s="44" t="s">
        <v>904</v>
      </c>
      <c r="H19" s="8"/>
    </row>
    <row r="20" spans="1:8" ht="16" customHeight="1" x14ac:dyDescent="0.25">
      <c r="A20" s="42">
        <v>16</v>
      </c>
      <c r="B20" s="8" t="str">
        <f>HYPERLINK("https://www.circlehealthgroup.co.uk/hospitals/the-beaumont-hospital/dermatology","Dermatology Service, Beaumont Hospital")</f>
        <v>Dermatology Service, Beaumont Hospital</v>
      </c>
      <c r="C20" s="43" t="s">
        <v>31</v>
      </c>
      <c r="D20" s="43" t="s">
        <v>32</v>
      </c>
      <c r="E20" s="8" t="s">
        <v>1043</v>
      </c>
      <c r="F20" s="44" t="s">
        <v>1331</v>
      </c>
      <c r="G20" s="44" t="s">
        <v>906</v>
      </c>
      <c r="H20" s="8"/>
    </row>
    <row r="21" spans="1:8" ht="16" customHeight="1" x14ac:dyDescent="0.25">
      <c r="A21" s="42">
        <v>17</v>
      </c>
      <c r="B21" s="8" t="str">
        <f>HYPERLINK("https://www.benendenhospital.org.uk/treatments-services/dermatology/eczema-treatment/","Dermatology Service, Benenden Hospital")</f>
        <v>Dermatology Service, Benenden Hospital</v>
      </c>
      <c r="C21" s="43" t="s">
        <v>31</v>
      </c>
      <c r="D21" s="43" t="s">
        <v>32</v>
      </c>
      <c r="E21" s="8" t="s">
        <v>1044</v>
      </c>
      <c r="F21" s="44" t="s">
        <v>1331</v>
      </c>
      <c r="G21" s="44" t="s">
        <v>197</v>
      </c>
      <c r="H21" s="8"/>
    </row>
    <row r="22" spans="1:8" ht="16" customHeight="1" x14ac:dyDescent="0.25">
      <c r="A22" s="42">
        <v>18</v>
      </c>
      <c r="B22" s="8" t="str">
        <f>HYPERLINK("https://www.circlehealthgroup.co.uk/hospitals/bishops-wood-hospital/dermatology","Dermatology Service, Bishops Wood Hospital")</f>
        <v>Dermatology Service, Bishops Wood Hospital</v>
      </c>
      <c r="C22" s="43" t="s">
        <v>31</v>
      </c>
      <c r="D22" s="43" t="s">
        <v>32</v>
      </c>
      <c r="E22" s="8" t="s">
        <v>1045</v>
      </c>
      <c r="F22" s="44" t="s">
        <v>1331</v>
      </c>
      <c r="G22" s="44" t="s">
        <v>906</v>
      </c>
      <c r="H22" s="8"/>
    </row>
    <row r="23" spans="1:8" ht="16" customHeight="1" x14ac:dyDescent="0.25">
      <c r="A23" s="42">
        <v>19</v>
      </c>
      <c r="B23" s="8" t="str">
        <f>HYPERLINK("https://www.nuffieldhealth.com/hospitals/bournemouth/treatments?category=dermatology#filters","Dermatology Service, Bournemouth Hospital")</f>
        <v>Dermatology Service, Bournemouth Hospital</v>
      </c>
      <c r="C23" s="43" t="s">
        <v>31</v>
      </c>
      <c r="D23" s="43" t="s">
        <v>32</v>
      </c>
      <c r="E23" s="8" t="s">
        <v>1046</v>
      </c>
      <c r="F23" s="44" t="s">
        <v>1331</v>
      </c>
      <c r="G23" s="44" t="s">
        <v>906</v>
      </c>
      <c r="H23" s="8"/>
    </row>
    <row r="24" spans="1:8" ht="16" customHeight="1" x14ac:dyDescent="0.25">
      <c r="A24" s="42">
        <v>20</v>
      </c>
      <c r="B24" s="8" t="str">
        <f>HYPERLINK("https://www.nuffieldhealth.com/hospitals/brentwood/treatments?category=dermatology#filters","Dermatology Service, Brentwood Hospital")</f>
        <v>Dermatology Service, Brentwood Hospital</v>
      </c>
      <c r="C24" s="43" t="s">
        <v>31</v>
      </c>
      <c r="D24" s="43" t="s">
        <v>32</v>
      </c>
      <c r="E24" s="8" t="s">
        <v>1047</v>
      </c>
      <c r="F24" s="44" t="s">
        <v>1331</v>
      </c>
      <c r="G24" s="44" t="s">
        <v>906</v>
      </c>
      <c r="H24" s="8"/>
    </row>
    <row r="25" spans="1:8" ht="16" customHeight="1" x14ac:dyDescent="0.25">
      <c r="A25" s="42">
        <v>21</v>
      </c>
      <c r="B25" s="8" t="str">
        <f>HYPERLINK("https://www.nuffieldhealth.com/hospitals/brighton/treatments?category=dermatology#filters","Dermatology Service, Brighton Hospital")</f>
        <v>Dermatology Service, Brighton Hospital</v>
      </c>
      <c r="C25" s="43" t="s">
        <v>31</v>
      </c>
      <c r="D25" s="43" t="s">
        <v>32</v>
      </c>
      <c r="E25" s="8" t="s">
        <v>1048</v>
      </c>
      <c r="F25" s="44" t="s">
        <v>1331</v>
      </c>
      <c r="G25" s="44" t="s">
        <v>906</v>
      </c>
      <c r="H25" s="8"/>
    </row>
    <row r="26" spans="1:8" ht="16" customHeight="1" x14ac:dyDescent="0.25">
      <c r="A26" s="42">
        <v>22</v>
      </c>
      <c r="B26" s="8" t="str">
        <f>HYPERLINK("https://www.nuffieldhealth.com/hospitals/bristol/treatments?category=dermatology#filters","Dermatology Service, Bristol Hospital")</f>
        <v>Dermatology Service, Bristol Hospital</v>
      </c>
      <c r="C26" s="43" t="s">
        <v>31</v>
      </c>
      <c r="D26" s="43" t="s">
        <v>32</v>
      </c>
      <c r="E26" s="8" t="s">
        <v>1049</v>
      </c>
      <c r="F26" s="44" t="s">
        <v>1331</v>
      </c>
      <c r="G26" s="44" t="s">
        <v>906</v>
      </c>
      <c r="H26" s="8"/>
    </row>
    <row r="27" spans="1:8" ht="16" customHeight="1" x14ac:dyDescent="0.25">
      <c r="A27" s="42">
        <v>23</v>
      </c>
      <c r="B27" s="8" t="str">
        <f>HYPERLINK("https://www.nuffieldhealth.com/hospitals/cambridge/treatments?category=dermatology#filters","Dermatology Service, Cambridge Hospital")</f>
        <v>Dermatology Service, Cambridge Hospital</v>
      </c>
      <c r="C27" s="43" t="s">
        <v>31</v>
      </c>
      <c r="D27" s="43" t="s">
        <v>32</v>
      </c>
      <c r="E27" s="8" t="s">
        <v>1050</v>
      </c>
      <c r="F27" s="44" t="s">
        <v>1331</v>
      </c>
      <c r="G27" s="44" t="s">
        <v>906</v>
      </c>
      <c r="H27" s="8"/>
    </row>
    <row r="28" spans="1:8" ht="16" customHeight="1" x14ac:dyDescent="0.25">
      <c r="A28" s="42">
        <v>24</v>
      </c>
      <c r="B28" s="8" t="str">
        <f>HYPERLINK("http://www.candoverclinic.com/clinical-services/dermatology/","Dermatology Service, Candover Clinic")</f>
        <v>Dermatology Service, Candover Clinic</v>
      </c>
      <c r="C28" s="43" t="s">
        <v>31</v>
      </c>
      <c r="D28" s="43" t="s">
        <v>32</v>
      </c>
      <c r="E28" s="8" t="s">
        <v>1051</v>
      </c>
      <c r="F28" s="44" t="s">
        <v>1331</v>
      </c>
      <c r="G28" s="44" t="s">
        <v>904</v>
      </c>
      <c r="H28" s="8"/>
    </row>
    <row r="29" spans="1:8" ht="16" customHeight="1" x14ac:dyDescent="0.25">
      <c r="A29" s="42">
        <v>25</v>
      </c>
      <c r="B29" s="8" t="str">
        <f>HYPERLINK("https://chelwestprivatecare.co.uk/services/dermatology/","Dermatology Service, Chelsea and Westminster Hospital")</f>
        <v>Dermatology Service, Chelsea and Westminster Hospital</v>
      </c>
      <c r="C29" s="43" t="s">
        <v>31</v>
      </c>
      <c r="D29" s="43" t="s">
        <v>32</v>
      </c>
      <c r="E29" s="8" t="s">
        <v>1052</v>
      </c>
      <c r="F29" s="44" t="s">
        <v>1331</v>
      </c>
      <c r="G29" s="44" t="s">
        <v>906</v>
      </c>
      <c r="H29" s="8"/>
    </row>
    <row r="30" spans="1:8" ht="16" customHeight="1" x14ac:dyDescent="0.25">
      <c r="A30" s="42">
        <v>26</v>
      </c>
      <c r="B30" s="8" t="str">
        <f>HYPERLINK("https://www.circlehealthgroup.co.uk/consultants/sandy-flann","Dermatology Service, Chelsfield Park Hospital")</f>
        <v>Dermatology Service, Chelsfield Park Hospital</v>
      </c>
      <c r="C30" s="43" t="s">
        <v>31</v>
      </c>
      <c r="D30" s="43" t="s">
        <v>32</v>
      </c>
      <c r="E30" s="8" t="s">
        <v>1053</v>
      </c>
      <c r="F30" s="44" t="s">
        <v>1331</v>
      </c>
      <c r="G30" s="44" t="s">
        <v>906</v>
      </c>
      <c r="H30" s="8"/>
    </row>
    <row r="31" spans="1:8" ht="16" customHeight="1" x14ac:dyDescent="0.25">
      <c r="A31" s="42">
        <v>27</v>
      </c>
      <c r="B31" s="8" t="str">
        <f>HYPERLINK("https://www.nuffieldhealth.com/hospitals/cheltenham/treatments?category=dermatology#filters","Dermatology Service, Cheltenham Hospital")</f>
        <v>Dermatology Service, Cheltenham Hospital</v>
      </c>
      <c r="C31" s="43" t="s">
        <v>31</v>
      </c>
      <c r="D31" s="43" t="s">
        <v>32</v>
      </c>
      <c r="E31" s="8" t="s">
        <v>1054</v>
      </c>
      <c r="F31" s="44" t="s">
        <v>1331</v>
      </c>
      <c r="G31" s="44" t="s">
        <v>906</v>
      </c>
      <c r="H31" s="8"/>
    </row>
    <row r="32" spans="1:8" ht="16" customHeight="1" x14ac:dyDescent="0.25">
      <c r="A32" s="42">
        <v>28</v>
      </c>
      <c r="B32" s="8" t="str">
        <f>HYPERLINK("https://www.nuffieldhealth.com/hospitals/chester/treatments?category=dermatology#filters","Dermatology Service, Chester Hospital")</f>
        <v>Dermatology Service, Chester Hospital</v>
      </c>
      <c r="C32" s="43" t="s">
        <v>31</v>
      </c>
      <c r="D32" s="43" t="s">
        <v>32</v>
      </c>
      <c r="E32" s="8" t="s">
        <v>1055</v>
      </c>
      <c r="F32" s="44" t="s">
        <v>1331</v>
      </c>
      <c r="G32" s="44" t="s">
        <v>906</v>
      </c>
      <c r="H32" s="8"/>
    </row>
    <row r="33" spans="1:8" ht="16" customHeight="1" x14ac:dyDescent="0.25">
      <c r="A33" s="42">
        <v>29</v>
      </c>
      <c r="B33" s="8" t="str">
        <f>HYPERLINK("https://www.nuffieldhealth.com/hospitals/chichester/treatments?category=dermatology#filters","Dermatology Service, Chichester Hospital")</f>
        <v>Dermatology Service, Chichester Hospital</v>
      </c>
      <c r="C33" s="43" t="s">
        <v>31</v>
      </c>
      <c r="D33" s="43" t="s">
        <v>32</v>
      </c>
      <c r="E33" s="8" t="s">
        <v>1056</v>
      </c>
      <c r="F33" s="44" t="s">
        <v>1331</v>
      </c>
      <c r="G33" s="44" t="s">
        <v>906</v>
      </c>
      <c r="H33" s="8"/>
    </row>
    <row r="34" spans="1:8" ht="16" customHeight="1" x14ac:dyDescent="0.25">
      <c r="A34" s="42">
        <v>30</v>
      </c>
      <c r="B34" s="8" t="str">
        <f>HYPERLINK("https://www.hcahealthcare.co.uk/facilities/the-lister-hospital/units-and-teams/chiswick-medical-centre","Dermatology Service, Chiswick Medical Centre")</f>
        <v>Dermatology Service, Chiswick Medical Centre</v>
      </c>
      <c r="C34" s="43" t="s">
        <v>31</v>
      </c>
      <c r="D34" s="43" t="s">
        <v>32</v>
      </c>
      <c r="E34" s="8" t="s">
        <v>1057</v>
      </c>
      <c r="F34" s="44" t="s">
        <v>1331</v>
      </c>
      <c r="G34" s="44" t="s">
        <v>906</v>
      </c>
      <c r="H34" s="8"/>
    </row>
    <row r="35" spans="1:8" ht="16" customHeight="1" x14ac:dyDescent="0.25">
      <c r="A35" s="42">
        <v>31</v>
      </c>
      <c r="B35" s="8" t="str">
        <f>HYPERLINK("https://www.circlehealthgroup.co.uk/hospitals/circle-reading-hospital/dermatology","Dermatology Service, Circle Reading Hospital")</f>
        <v>Dermatology Service, Circle Reading Hospital</v>
      </c>
      <c r="C35" s="43" t="s">
        <v>31</v>
      </c>
      <c r="D35" s="43" t="s">
        <v>32</v>
      </c>
      <c r="E35" s="8" t="s">
        <v>1058</v>
      </c>
      <c r="F35" s="44" t="s">
        <v>1331</v>
      </c>
      <c r="G35" s="44" t="s">
        <v>906</v>
      </c>
      <c r="H35" s="8"/>
    </row>
    <row r="36" spans="1:8" ht="16" customHeight="1" x14ac:dyDescent="0.25">
      <c r="A36" s="42">
        <v>32</v>
      </c>
      <c r="B36" s="8" t="str">
        <f>HYPERLINK("https://clevelandcliniclondon.uk/clinical-institutes/medical-subspecialties/dermatology","Dermatology Service, Cleveland Clinic London")</f>
        <v>Dermatology Service, Cleveland Clinic London</v>
      </c>
      <c r="C36" s="43" t="s">
        <v>31</v>
      </c>
      <c r="D36" s="43" t="s">
        <v>32</v>
      </c>
      <c r="E36" s="8" t="s">
        <v>1059</v>
      </c>
      <c r="F36" s="44" t="s">
        <v>1331</v>
      </c>
      <c r="G36" s="44" t="s">
        <v>906</v>
      </c>
      <c r="H36" s="8"/>
    </row>
    <row r="37" spans="1:8" ht="16" customHeight="1" x14ac:dyDescent="0.25">
      <c r="A37" s="42">
        <v>33</v>
      </c>
      <c r="B37" s="8" t="str">
        <f>HYPERLINK("https://www.clinicalondon.co.uk/consultants/#dermatology-consultants","Dermatology Service, Clinica London")</f>
        <v>Dermatology Service, Clinica London</v>
      </c>
      <c r="C37" s="43" t="s">
        <v>31</v>
      </c>
      <c r="D37" s="43" t="s">
        <v>32</v>
      </c>
      <c r="E37" s="8" t="s">
        <v>1060</v>
      </c>
      <c r="F37" s="44" t="s">
        <v>1331</v>
      </c>
      <c r="G37" s="44" t="s">
        <v>906</v>
      </c>
      <c r="H37" s="8"/>
    </row>
    <row r="38" spans="1:8" ht="16" customHeight="1" x14ac:dyDescent="0.25">
      <c r="A38" s="42">
        <v>34</v>
      </c>
      <c r="B38" s="8" t="str">
        <f>HYPERLINK("https://www.cromwellhospital.com/services-specialties/dermatology/","Dermatology Service, Cromwell Hospital")</f>
        <v>Dermatology Service, Cromwell Hospital</v>
      </c>
      <c r="C38" s="43" t="s">
        <v>31</v>
      </c>
      <c r="D38" s="43" t="s">
        <v>32</v>
      </c>
      <c r="E38" s="8" t="s">
        <v>1061</v>
      </c>
      <c r="F38" s="44" t="s">
        <v>1331</v>
      </c>
      <c r="G38" s="44" t="s">
        <v>906</v>
      </c>
      <c r="H38" s="8"/>
    </row>
    <row r="39" spans="1:8" ht="16" customHeight="1" x14ac:dyDescent="0.25">
      <c r="A39" s="42">
        <v>35</v>
      </c>
      <c r="B39" s="8" t="str">
        <f>HYPERLINK("https://www.nuffieldhealth.com/hospitals/derby/treatments?category=dermatology#filters","Dermatology Service, Derby Hospital")</f>
        <v>Dermatology Service, Derby Hospital</v>
      </c>
      <c r="C39" s="43" t="s">
        <v>31</v>
      </c>
      <c r="D39" s="43" t="s">
        <v>32</v>
      </c>
      <c r="E39" s="8" t="s">
        <v>1062</v>
      </c>
      <c r="F39" s="44" t="s">
        <v>1331</v>
      </c>
      <c r="G39" s="44" t="s">
        <v>906</v>
      </c>
      <c r="H39" s="8"/>
    </row>
    <row r="40" spans="1:8" ht="16" customHeight="1" x14ac:dyDescent="0.25">
      <c r="A40" s="42">
        <v>36</v>
      </c>
      <c r="B40" s="8" t="str">
        <f>HYPERLINK("https://www.duchyhospital.co.uk/treatments/dermatology","Dermatology Service, Duchy Hospital")</f>
        <v>Dermatology Service, Duchy Hospital</v>
      </c>
      <c r="C40" s="43" t="s">
        <v>31</v>
      </c>
      <c r="D40" s="43" t="s">
        <v>32</v>
      </c>
      <c r="E40" s="8" t="s">
        <v>1063</v>
      </c>
      <c r="F40" s="44" t="s">
        <v>1331</v>
      </c>
      <c r="G40" s="44" t="s">
        <v>904</v>
      </c>
      <c r="H40" s="8"/>
    </row>
    <row r="41" spans="1:8" ht="16" customHeight="1" x14ac:dyDescent="0.25">
      <c r="A41" s="42">
        <v>37</v>
      </c>
      <c r="B41" s="8" t="str">
        <f>HYPERLINK("https://www.euxtonhallhospital.co.uk/specialists?query=Dermatology","Dermatology Service, Euxton Hall Hospital")</f>
        <v>Dermatology Service, Euxton Hall Hospital</v>
      </c>
      <c r="C41" s="43" t="s">
        <v>31</v>
      </c>
      <c r="D41" s="43" t="s">
        <v>32</v>
      </c>
      <c r="E41" s="8" t="s">
        <v>1064</v>
      </c>
      <c r="F41" s="44" t="s">
        <v>1331</v>
      </c>
      <c r="G41" s="44" t="s">
        <v>904</v>
      </c>
      <c r="H41" s="8"/>
    </row>
    <row r="42" spans="1:8" ht="16" customHeight="1" x14ac:dyDescent="0.25">
      <c r="A42" s="42">
        <v>38</v>
      </c>
      <c r="B42" s="8" t="str">
        <f>HYPERLINK("https://www.nuffieldhealth.com/hospitals/exeter/treatments?category=dermatology#filters","Dermatology Service, Exeter Hospital")</f>
        <v>Dermatology Service, Exeter Hospital</v>
      </c>
      <c r="C42" s="43" t="s">
        <v>31</v>
      </c>
      <c r="D42" s="43" t="s">
        <v>32</v>
      </c>
      <c r="E42" s="8" t="s">
        <v>1065</v>
      </c>
      <c r="F42" s="44" t="s">
        <v>1331</v>
      </c>
      <c r="G42" s="44" t="s">
        <v>906</v>
      </c>
      <c r="H42" s="8"/>
    </row>
    <row r="43" spans="1:8" ht="16" customHeight="1" x14ac:dyDescent="0.25">
      <c r="A43" s="42">
        <v>39</v>
      </c>
      <c r="B43" s="8" t="str">
        <f>HYPERLINK("https://www.exetermedical.co.uk/specialists?query=Dermatology","Dermatology Service, Exeter Medical")</f>
        <v>Dermatology Service, Exeter Medical</v>
      </c>
      <c r="C43" s="43" t="s">
        <v>31</v>
      </c>
      <c r="D43" s="43" t="s">
        <v>32</v>
      </c>
      <c r="E43" s="8" t="s">
        <v>1066</v>
      </c>
      <c r="F43" s="44" t="s">
        <v>1331</v>
      </c>
      <c r="G43" s="44" t="s">
        <v>904</v>
      </c>
      <c r="H43" s="8"/>
    </row>
    <row r="44" spans="1:8" ht="16" customHeight="1" x14ac:dyDescent="0.25">
      <c r="A44" s="42">
        <v>40</v>
      </c>
      <c r="B44" s="8" t="str">
        <f>HYPERLINK("https://www.fitzwilliamhospital.co.uk/specialists?query=Dermatology","Dermatology Service, Fitzwilliam Hospital")</f>
        <v>Dermatology Service, Fitzwilliam Hospital</v>
      </c>
      <c r="C44" s="43" t="s">
        <v>31</v>
      </c>
      <c r="D44" s="43" t="s">
        <v>32</v>
      </c>
      <c r="E44" s="8" t="s">
        <v>1067</v>
      </c>
      <c r="F44" s="44" t="s">
        <v>1331</v>
      </c>
      <c r="G44" s="44" t="s">
        <v>904</v>
      </c>
      <c r="H44" s="8"/>
    </row>
    <row r="45" spans="1:8" ht="16" customHeight="1" x14ac:dyDescent="0.25">
      <c r="A45" s="42">
        <v>41</v>
      </c>
      <c r="B45" s="8" t="str">
        <f>HYPERLINK("https://www.fulwoodhallhospital.co.uk/specialists?query=Dermatology","Dermatology Service, Fulwood Hall Hospital")</f>
        <v>Dermatology Service, Fulwood Hall Hospital</v>
      </c>
      <c r="C45" s="43" t="s">
        <v>31</v>
      </c>
      <c r="D45" s="43" t="s">
        <v>32</v>
      </c>
      <c r="E45" s="8" t="s">
        <v>1068</v>
      </c>
      <c r="F45" s="44" t="s">
        <v>1331</v>
      </c>
      <c r="G45" s="44" t="s">
        <v>904</v>
      </c>
      <c r="H45" s="8"/>
    </row>
    <row r="46" spans="1:8" ht="16" customHeight="1" x14ac:dyDescent="0.25">
      <c r="A46" s="42">
        <v>42</v>
      </c>
      <c r="B46" s="8" t="str">
        <f>HYPERLINK("https://www.hcahealthcare.co.uk/facilities/the-wellington-hospital/our-centres/golders-green-outpatients-and-diagnostics-centre","Dermatology Service, Golders Green Outpatients and Diagnostics Centre")</f>
        <v>Dermatology Service, Golders Green Outpatients and Diagnostics Centre</v>
      </c>
      <c r="C46" s="43" t="s">
        <v>31</v>
      </c>
      <c r="D46" s="43" t="s">
        <v>32</v>
      </c>
      <c r="E46" s="8" t="s">
        <v>1069</v>
      </c>
      <c r="F46" s="44" t="s">
        <v>1331</v>
      </c>
      <c r="G46" s="44" t="s">
        <v>906</v>
      </c>
      <c r="H46" s="8"/>
    </row>
    <row r="47" spans="1:8" ht="16" customHeight="1" x14ac:dyDescent="0.25">
      <c r="A47" s="42">
        <v>43</v>
      </c>
      <c r="B47" s="8" t="str">
        <f>HYPERLINK("https://www.circlehealthgroup.co.uk/hospitals/goring-hall-hospital/private-skin-clinic-worthing","Dermatology Service, Goring Hall Hospital")</f>
        <v>Dermatology Service, Goring Hall Hospital</v>
      </c>
      <c r="C47" s="43" t="s">
        <v>31</v>
      </c>
      <c r="D47" s="43" t="s">
        <v>32</v>
      </c>
      <c r="E47" s="8" t="s">
        <v>1070</v>
      </c>
      <c r="F47" s="44" t="s">
        <v>1331</v>
      </c>
      <c r="G47" s="44" t="s">
        <v>906</v>
      </c>
      <c r="H47" s="8"/>
    </row>
    <row r="48" spans="1:8" ht="16" customHeight="1" x14ac:dyDescent="0.25">
      <c r="A48" s="42">
        <v>44</v>
      </c>
      <c r="B48" s="8" t="str">
        <f>HYPERLINK("https://www.nuffieldhealth.com/hospitals/guildford/treatments?category=dermatology#filters","Dermatology Service, Guildford Hospital")</f>
        <v>Dermatology Service, Guildford Hospital</v>
      </c>
      <c r="C48" s="43" t="s">
        <v>31</v>
      </c>
      <c r="D48" s="43" t="s">
        <v>32</v>
      </c>
      <c r="E48" s="8" t="s">
        <v>1071</v>
      </c>
      <c r="F48" s="44" t="s">
        <v>1331</v>
      </c>
      <c r="G48" s="44" t="s">
        <v>906</v>
      </c>
      <c r="H48" s="8"/>
    </row>
    <row r="49" spans="1:8" ht="16" customHeight="1" x14ac:dyDescent="0.25">
      <c r="A49" s="42">
        <v>45</v>
      </c>
      <c r="B49" s="8" t="str">
        <f>HYPERLINK("https://guysandstthomasprivatehealthcare.co.uk/services/dermatology/","Dermatology Service, Guy’s and St Thomas’ Private Healthcare")</f>
        <v>Dermatology Service, Guy’s and St Thomas’ Private Healthcare</v>
      </c>
      <c r="C49" s="43" t="s">
        <v>31</v>
      </c>
      <c r="D49" s="43" t="s">
        <v>32</v>
      </c>
      <c r="E49" s="8" t="s">
        <v>1072</v>
      </c>
      <c r="F49" s="44" t="s">
        <v>1331</v>
      </c>
      <c r="G49" s="44" t="s">
        <v>906</v>
      </c>
      <c r="H49" s="8"/>
    </row>
    <row r="50" spans="1:8" ht="16" customHeight="1" x14ac:dyDescent="0.25">
      <c r="A50" s="42">
        <v>46</v>
      </c>
      <c r="B50" s="8" t="str">
        <f>HYPERLINK("https://www.harleyhealthcentre.com/dermatology","Dermatology Service, Harley Street Health Centre")</f>
        <v>Dermatology Service, Harley Street Health Centre</v>
      </c>
      <c r="C50" s="43" t="s">
        <v>31</v>
      </c>
      <c r="D50" s="43" t="s">
        <v>32</v>
      </c>
      <c r="E50" s="8" t="s">
        <v>1324</v>
      </c>
      <c r="F50" s="44" t="s">
        <v>1331</v>
      </c>
      <c r="G50" s="44" t="s">
        <v>906</v>
      </c>
      <c r="H50" s="8"/>
    </row>
    <row r="51" spans="1:8" ht="16" customHeight="1" x14ac:dyDescent="0.25">
      <c r="A51" s="42">
        <v>47</v>
      </c>
      <c r="B51" s="8" t="str">
        <f>HYPERLINK("https://www.nuffieldhealth.com/hospitals/haywards-heath/treatments?category=dermatology#filters","Dermatology Service, Haywards Heath Hospital")</f>
        <v>Dermatology Service, Haywards Heath Hospital</v>
      </c>
      <c r="C51" s="43" t="s">
        <v>31</v>
      </c>
      <c r="D51" s="43" t="s">
        <v>32</v>
      </c>
      <c r="E51" s="8" t="s">
        <v>1073</v>
      </c>
      <c r="F51" s="44" t="s">
        <v>1331</v>
      </c>
      <c r="G51" s="44" t="s">
        <v>906</v>
      </c>
      <c r="H51" s="8"/>
    </row>
    <row r="52" spans="1:8" ht="16" customHeight="1" x14ac:dyDescent="0.25">
      <c r="A52" s="42">
        <v>48</v>
      </c>
      <c r="B52" s="8" t="str">
        <f>HYPERLINK("https://www.circlehealthgroup.co.uk/consultants?distance=15&amp;hospital=Hendon%20Hospital&amp;hospitalId=919db64f-f7db-41b5-a748-d4093f475335&amp;treatment=Dermatology&amp;treatmentId=498c24bd-cd97-48d8-8324-643bb8b8296c&amp;sort=score|Descending&amp;page=1&amp;perPage=18","Dermatology Service, Hendon Hospital")</f>
        <v>Dermatology Service, Hendon Hospital</v>
      </c>
      <c r="C52" s="43" t="s">
        <v>31</v>
      </c>
      <c r="D52" s="43" t="s">
        <v>32</v>
      </c>
      <c r="E52" s="8" t="s">
        <v>1074</v>
      </c>
      <c r="F52" s="44" t="s">
        <v>1331</v>
      </c>
      <c r="G52" s="44" t="s">
        <v>906</v>
      </c>
      <c r="H52" s="8"/>
    </row>
    <row r="53" spans="1:8" ht="16" customHeight="1" x14ac:dyDescent="0.25">
      <c r="A53" s="42">
        <v>49</v>
      </c>
      <c r="B53" s="8" t="str">
        <f>HYPERLINK("https://www.nuffieldhealth.com/hospitals/hereford/treatments?category=dermatology#filters","Dermatology Service, Hereford Hospital")</f>
        <v>Dermatology Service, Hereford Hospital</v>
      </c>
      <c r="C53" s="43" t="s">
        <v>31</v>
      </c>
      <c r="D53" s="43" t="s">
        <v>32</v>
      </c>
      <c r="E53" s="8" t="s">
        <v>1075</v>
      </c>
      <c r="F53" s="44" t="s">
        <v>1331</v>
      </c>
      <c r="G53" s="44" t="s">
        <v>906</v>
      </c>
      <c r="H53" s="8"/>
    </row>
    <row r="54" spans="1:8" ht="16" customHeight="1" x14ac:dyDescent="0.25">
      <c r="A54" s="42">
        <v>50</v>
      </c>
      <c r="B54" s="8" t="str">
        <f>HYPERLINK("https://www.highgatehospital.co.uk/services/dermatology/","Dermatology Service, Highgate Private Clinic")</f>
        <v>Dermatology Service, Highgate Private Clinic</v>
      </c>
      <c r="C54" s="43" t="s">
        <v>31</v>
      </c>
      <c r="D54" s="43" t="s">
        <v>32</v>
      </c>
      <c r="E54" s="8" t="s">
        <v>1076</v>
      </c>
      <c r="F54" s="44" t="s">
        <v>1331</v>
      </c>
      <c r="G54" s="44" t="s">
        <v>906</v>
      </c>
      <c r="H54" s="8"/>
    </row>
    <row r="55" spans="1:8" ht="16" customHeight="1" x14ac:dyDescent="0.25">
      <c r="A55" s="42">
        <v>51</v>
      </c>
      <c r="B55" s="8" t="str">
        <f>HYPERLINK("https://imperialprivatehealthcare.co.uk/consultants-directory/?cn-cat-in%5B%5D=65&amp;cn-cat-in%5B%5D=&amp;cn-cat-in%5B%5D=&amp;cn-cat-in%5B%5D=&amp;cn-s=","Dermatology Service, Imperial Private Healthcare")</f>
        <v>Dermatology Service, Imperial Private Healthcare</v>
      </c>
      <c r="C55" s="43" t="s">
        <v>31</v>
      </c>
      <c r="D55" s="43" t="s">
        <v>32</v>
      </c>
      <c r="E55" s="8" t="s">
        <v>1077</v>
      </c>
      <c r="F55" s="44" t="s">
        <v>1331</v>
      </c>
      <c r="G55" s="44" t="s">
        <v>904</v>
      </c>
      <c r="H55" s="8"/>
    </row>
    <row r="56" spans="1:8" ht="16" customHeight="1" x14ac:dyDescent="0.25">
      <c r="A56" s="42">
        <v>52</v>
      </c>
      <c r="B56" s="8" t="str">
        <f>HYPERLINK("https://www.nuffieldhealth.com/hospitals/ipswich/treatments?category=dermatology#filters","Dermatology Service, Ipswich Hospital")</f>
        <v>Dermatology Service, Ipswich Hospital</v>
      </c>
      <c r="C56" s="43" t="s">
        <v>31</v>
      </c>
      <c r="D56" s="43" t="s">
        <v>32</v>
      </c>
      <c r="E56" s="8" t="s">
        <v>1078</v>
      </c>
      <c r="F56" s="44" t="s">
        <v>1331</v>
      </c>
      <c r="G56" s="44" t="s">
        <v>906</v>
      </c>
      <c r="H56" s="8"/>
    </row>
    <row r="57" spans="1:8" ht="16" customHeight="1" x14ac:dyDescent="0.25">
      <c r="A57" s="42">
        <v>53</v>
      </c>
      <c r="B57" s="8" t="str">
        <f>HYPERLINK("https://kims.org.uk/consultants/?search=&amp;related_service=1727&amp;related_treatment=&amp;location=#results","Dermatology Service, KIMS Hospital")</f>
        <v>Dermatology Service, KIMS Hospital</v>
      </c>
      <c r="C57" s="43" t="s">
        <v>31</v>
      </c>
      <c r="D57" s="43" t="s">
        <v>32</v>
      </c>
      <c r="E57" s="8" t="s">
        <v>1079</v>
      </c>
      <c r="F57" s="44" t="s">
        <v>1331</v>
      </c>
      <c r="G57" s="44" t="s">
        <v>904</v>
      </c>
      <c r="H57" s="8"/>
    </row>
    <row r="58" spans="1:8" ht="16" customHeight="1" x14ac:dyDescent="0.25">
      <c r="A58" s="42">
        <v>54</v>
      </c>
      <c r="B58" s="8" t="str">
        <f>HYPERLINK("https://www.circlehealthgroup.co.uk/consultants/sohail-mansoor","Dermatology Service, Kings Oak Hospital")</f>
        <v>Dermatology Service, Kings Oak Hospital</v>
      </c>
      <c r="C58" s="43" t="s">
        <v>31</v>
      </c>
      <c r="D58" s="43" t="s">
        <v>32</v>
      </c>
      <c r="E58" s="8" t="s">
        <v>1080</v>
      </c>
      <c r="F58" s="44" t="s">
        <v>1331</v>
      </c>
      <c r="G58" s="44" t="s">
        <v>906</v>
      </c>
      <c r="H58" s="8"/>
    </row>
    <row r="59" spans="1:8" ht="16" customHeight="1" x14ac:dyDescent="0.25">
      <c r="A59" s="42">
        <v>55</v>
      </c>
      <c r="B59" s="8" t="str">
        <f>HYPERLINK("https://kingstonprivatehealth.co.uk/specialities/dermatology/","Dermatology Service, Kingston Private Health")</f>
        <v>Dermatology Service, Kingston Private Health</v>
      </c>
      <c r="C59" s="43" t="s">
        <v>31</v>
      </c>
      <c r="D59" s="43" t="s">
        <v>32</v>
      </c>
      <c r="E59" s="8" t="s">
        <v>1081</v>
      </c>
      <c r="F59" s="44" t="s">
        <v>1331</v>
      </c>
      <c r="G59" s="44" t="s">
        <v>906</v>
      </c>
      <c r="H59" s="8"/>
    </row>
    <row r="60" spans="1:8" ht="16" customHeight="1" x14ac:dyDescent="0.25">
      <c r="A60" s="42">
        <v>56</v>
      </c>
      <c r="B60" s="8" t="str">
        <f>HYPERLINK("https://www.nuffieldhealth.com/hospitals/leeds/treatments?category=dermatology#filters","Dermatology Service, Leeds Hospital")</f>
        <v>Dermatology Service, Leeds Hospital</v>
      </c>
      <c r="C60" s="43" t="s">
        <v>31</v>
      </c>
      <c r="D60" s="43" t="s">
        <v>32</v>
      </c>
      <c r="E60" s="8" t="s">
        <v>1082</v>
      </c>
      <c r="F60" s="44" t="s">
        <v>1331</v>
      </c>
      <c r="G60" s="44" t="s">
        <v>906</v>
      </c>
      <c r="H60" s="8"/>
    </row>
    <row r="61" spans="1:8" ht="16" customHeight="1" x14ac:dyDescent="0.25">
      <c r="A61" s="42">
        <v>57</v>
      </c>
      <c r="B61" s="8" t="str">
        <f>HYPERLINK("https://www.nuffieldhealth.com/hospitals/leicester/treatments?category=dermatology#filters","Dermatology Service, Leicester Hospital")</f>
        <v>Dermatology Service, Leicester Hospital</v>
      </c>
      <c r="C61" s="43" t="s">
        <v>31</v>
      </c>
      <c r="D61" s="43" t="s">
        <v>32</v>
      </c>
      <c r="E61" s="8" t="s">
        <v>1083</v>
      </c>
      <c r="F61" s="44" t="s">
        <v>1331</v>
      </c>
      <c r="G61" s="44" t="s">
        <v>906</v>
      </c>
      <c r="H61" s="8"/>
    </row>
    <row r="62" spans="1:8" ht="16" customHeight="1" x14ac:dyDescent="0.25">
      <c r="A62" s="42">
        <v>58</v>
      </c>
      <c r="B62" s="8" t="str">
        <f>HYPERLINK("https://www.hcahealthcare.co.uk/facilities/london-bridge-hospital","Dermatology Service, London Bridge Hospital")</f>
        <v>Dermatology Service, London Bridge Hospital</v>
      </c>
      <c r="C62" s="43" t="s">
        <v>31</v>
      </c>
      <c r="D62" s="43" t="s">
        <v>32</v>
      </c>
      <c r="E62" s="8" t="s">
        <v>1084</v>
      </c>
      <c r="F62" s="44" t="s">
        <v>1331</v>
      </c>
      <c r="G62" s="44" t="s">
        <v>906</v>
      </c>
      <c r="H62" s="8"/>
    </row>
    <row r="63" spans="1:8" ht="16" customHeight="1" x14ac:dyDescent="0.25">
      <c r="A63" s="42">
        <v>59</v>
      </c>
      <c r="B63" s="8" t="str">
        <f>HYPERLINK("https://www.circlehealthgroup.co.uk/hospitals/mount-alvernia-hospital/dermatology","Dermatology Service, Mount Alvernia Hospital")</f>
        <v>Dermatology Service, Mount Alvernia Hospital</v>
      </c>
      <c r="C63" s="43" t="s">
        <v>31</v>
      </c>
      <c r="D63" s="43" t="s">
        <v>32</v>
      </c>
      <c r="E63" s="8" t="s">
        <v>1085</v>
      </c>
      <c r="F63" s="44" t="s">
        <v>1331</v>
      </c>
      <c r="G63" s="44" t="s">
        <v>906</v>
      </c>
      <c r="H63" s="8"/>
    </row>
    <row r="64" spans="1:8" ht="16" customHeight="1" x14ac:dyDescent="0.25">
      <c r="A64" s="42">
        <v>60</v>
      </c>
      <c r="B64" s="8" t="str">
        <f>HYPERLINK("https://www.mountstuarthospital.co.uk/treatments/dermatology","Dermatology Service, Mount Stuart Hospital")</f>
        <v>Dermatology Service, Mount Stuart Hospital</v>
      </c>
      <c r="C64" s="43" t="s">
        <v>31</v>
      </c>
      <c r="D64" s="43" t="s">
        <v>32</v>
      </c>
      <c r="E64" s="8" t="s">
        <v>1086</v>
      </c>
      <c r="F64" s="44" t="s">
        <v>1331</v>
      </c>
      <c r="G64" s="44" t="s">
        <v>904</v>
      </c>
      <c r="H64" s="8"/>
    </row>
    <row r="65" spans="1:8" ht="16" customHeight="1" x14ac:dyDescent="0.25">
      <c r="A65" s="42">
        <v>61</v>
      </c>
      <c r="B65" s="8" t="str">
        <f>HYPERLINK("https://www.newhallhospital.co.uk/treatments/dermatology","Dermatology Service, New Hall Hospital")</f>
        <v>Dermatology Service, New Hall Hospital</v>
      </c>
      <c r="C65" s="43" t="s">
        <v>31</v>
      </c>
      <c r="D65" s="43" t="s">
        <v>32</v>
      </c>
      <c r="E65" s="8" t="s">
        <v>1087</v>
      </c>
      <c r="F65" s="44" t="s">
        <v>1331</v>
      </c>
      <c r="G65" s="44" t="s">
        <v>904</v>
      </c>
      <c r="H65" s="8"/>
    </row>
    <row r="66" spans="1:8" ht="16" customHeight="1" x14ac:dyDescent="0.25">
      <c r="A66" s="42">
        <v>62</v>
      </c>
      <c r="B66" s="8" t="str">
        <f>HYPERLINK("https://www.nuffieldhealth.com/hospitals/newcastle-upon-tyne/treatments?category=dermatology#filters","Dermatology Service, Newcastle Hospital")</f>
        <v>Dermatology Service, Newcastle Hospital</v>
      </c>
      <c r="C66" s="43" t="s">
        <v>31</v>
      </c>
      <c r="D66" s="43" t="s">
        <v>32</v>
      </c>
      <c r="E66" s="8" t="s">
        <v>1088</v>
      </c>
      <c r="F66" s="44" t="s">
        <v>1331</v>
      </c>
      <c r="G66" s="44" t="s">
        <v>906</v>
      </c>
      <c r="H66" s="8"/>
    </row>
    <row r="67" spans="1:8" ht="16" customHeight="1" x14ac:dyDescent="0.25">
      <c r="A67" s="42">
        <v>63</v>
      </c>
      <c r="B67" s="8" t="str">
        <f>HYPERLINK("https://www.northdownshospital.co.uk/treatments/dermatology","Dermatology Service, North Downs Hospital")</f>
        <v>Dermatology Service, North Downs Hospital</v>
      </c>
      <c r="C67" s="43" t="s">
        <v>31</v>
      </c>
      <c r="D67" s="43" t="s">
        <v>32</v>
      </c>
      <c r="E67" s="8" t="s">
        <v>1089</v>
      </c>
      <c r="F67" s="44" t="s">
        <v>1331</v>
      </c>
      <c r="G67" s="44" t="s">
        <v>904</v>
      </c>
      <c r="H67" s="8"/>
    </row>
    <row r="68" spans="1:8" ht="16" customHeight="1" x14ac:dyDescent="0.25">
      <c r="A68" s="42">
        <v>64</v>
      </c>
      <c r="B68" s="8" t="str">
        <f>HYPERLINK("https://www.nuffieldhealth.com/hospitals/north-staffordshire/treatments?category=dermatology#filters","Dermatology Service, North Staffordshire Hospital")</f>
        <v>Dermatology Service, North Staffordshire Hospital</v>
      </c>
      <c r="C68" s="43" t="s">
        <v>31</v>
      </c>
      <c r="D68" s="43" t="s">
        <v>32</v>
      </c>
      <c r="E68" s="8" t="s">
        <v>1090</v>
      </c>
      <c r="F68" s="44" t="s">
        <v>1331</v>
      </c>
      <c r="G68" s="44" t="s">
        <v>906</v>
      </c>
      <c r="H68" s="8"/>
    </row>
    <row r="69" spans="1:8" ht="16" customHeight="1" x14ac:dyDescent="0.25">
      <c r="A69" s="42">
        <v>65</v>
      </c>
      <c r="B69" s="8" t="str">
        <f>HYPERLINK("https://www.nuffieldhealth.com/hospitals/nuffield-health-at-st-bartholomews-hospital/treatments?category=dermatology#filters","Dermatology Service, Nuffield Health at St Bartholomew's Hospital")</f>
        <v>Dermatology Service, Nuffield Health at St Bartholomew's Hospital</v>
      </c>
      <c r="C69" s="43" t="s">
        <v>31</v>
      </c>
      <c r="D69" s="43" t="s">
        <v>32</v>
      </c>
      <c r="E69" s="8" t="s">
        <v>1091</v>
      </c>
      <c r="F69" s="44" t="s">
        <v>1331</v>
      </c>
      <c r="G69" s="44" t="s">
        <v>906</v>
      </c>
      <c r="H69" s="8"/>
    </row>
    <row r="70" spans="1:8" ht="16" customHeight="1" x14ac:dyDescent="0.25">
      <c r="A70" s="42">
        <v>66</v>
      </c>
      <c r="B70" s="8" t="str">
        <f>HYPERLINK("https://www.oaklands-hospital.co.uk/specialists?query=Dermatology","Dermatology Service, Oaklands Hospital")</f>
        <v>Dermatology Service, Oaklands Hospital</v>
      </c>
      <c r="C70" s="43" t="s">
        <v>31</v>
      </c>
      <c r="D70" s="43" t="s">
        <v>32</v>
      </c>
      <c r="E70" s="8" t="s">
        <v>1092</v>
      </c>
      <c r="F70" s="44" t="s">
        <v>1331</v>
      </c>
      <c r="G70" s="44" t="s">
        <v>904</v>
      </c>
      <c r="H70" s="8"/>
    </row>
    <row r="71" spans="1:8" ht="16" customHeight="1" x14ac:dyDescent="0.25">
      <c r="A71" s="42">
        <v>67</v>
      </c>
      <c r="B71" s="8" t="str">
        <f>HYPERLINK("https://www.oakshospital.co.uk/treatments/dermatology","Dermatology Service, Oaks Hospital")</f>
        <v>Dermatology Service, Oaks Hospital</v>
      </c>
      <c r="C71" s="43" t="s">
        <v>31</v>
      </c>
      <c r="D71" s="43" t="s">
        <v>32</v>
      </c>
      <c r="E71" s="8" t="s">
        <v>1093</v>
      </c>
      <c r="F71" s="44" t="s">
        <v>1331</v>
      </c>
      <c r="G71" s="44" t="s">
        <v>904</v>
      </c>
      <c r="H71" s="8"/>
    </row>
    <row r="72" spans="1:8" ht="16" customHeight="1" x14ac:dyDescent="0.25">
      <c r="A72" s="42">
        <v>68</v>
      </c>
      <c r="B72" s="8" t="str">
        <f>HYPERLINK("https://www.onehealthcare.co.uk/treatment-category/hatfield/dermatology-hatfield/","Dermatology Service, One Hatfield Hospital")</f>
        <v>Dermatology Service, One Hatfield Hospital</v>
      </c>
      <c r="C72" s="43" t="s">
        <v>31</v>
      </c>
      <c r="D72" s="43" t="s">
        <v>32</v>
      </c>
      <c r="E72" s="8" t="s">
        <v>1094</v>
      </c>
      <c r="F72" s="44" t="s">
        <v>1331</v>
      </c>
      <c r="G72" s="44" t="s">
        <v>904</v>
      </c>
      <c r="H72" s="8"/>
    </row>
    <row r="73" spans="1:8" ht="16" customHeight="1" x14ac:dyDescent="0.25">
      <c r="A73" s="42">
        <v>69</v>
      </c>
      <c r="B73" s="8" t="str">
        <f>HYPERLINK("https://www.nuffieldhealth.com/hospitals/oxford/treatments?category=dermatology#filters","Dermatology Service, Oxford Hospital")</f>
        <v>Dermatology Service, Oxford Hospital</v>
      </c>
      <c r="C73" s="43" t="s">
        <v>31</v>
      </c>
      <c r="D73" s="43" t="s">
        <v>32</v>
      </c>
      <c r="E73" s="8" t="s">
        <v>1095</v>
      </c>
      <c r="F73" s="44" t="s">
        <v>1331</v>
      </c>
      <c r="G73" s="44" t="s">
        <v>906</v>
      </c>
      <c r="H73" s="8"/>
    </row>
    <row r="74" spans="1:8" ht="16" customHeight="1" x14ac:dyDescent="0.25">
      <c r="A74" s="42">
        <v>70</v>
      </c>
      <c r="B74" s="8" t="str">
        <f>HYPERLINK("https://www.parkhillhospital.co.uk/specialists?query=Dermatology","Dermatology Service, Park Hill Hospital")</f>
        <v>Dermatology Service, Park Hill Hospital</v>
      </c>
      <c r="C74" s="43" t="s">
        <v>31</v>
      </c>
      <c r="D74" s="43" t="s">
        <v>32</v>
      </c>
      <c r="E74" s="8" t="s">
        <v>1096</v>
      </c>
      <c r="F74" s="44" t="s">
        <v>1331</v>
      </c>
      <c r="G74" s="44" t="s">
        <v>904</v>
      </c>
      <c r="H74" s="8"/>
    </row>
    <row r="75" spans="1:8" ht="16" customHeight="1" x14ac:dyDescent="0.25">
      <c r="A75" s="42">
        <v>71</v>
      </c>
      <c r="B75" s="8" t="str">
        <f>HYPERLINK("https://www.pinehillhospital.co.uk/specialists?query=dermatology","Dermatology Service, Pinehill Hospital")</f>
        <v>Dermatology Service, Pinehill Hospital</v>
      </c>
      <c r="C75" s="43" t="s">
        <v>31</v>
      </c>
      <c r="D75" s="43" t="s">
        <v>32</v>
      </c>
      <c r="E75" s="8" t="s">
        <v>1097</v>
      </c>
      <c r="F75" s="44" t="s">
        <v>1331</v>
      </c>
      <c r="G75" s="44" t="s">
        <v>904</v>
      </c>
      <c r="H75" s="8"/>
    </row>
    <row r="76" spans="1:8" ht="16" customHeight="1" x14ac:dyDescent="0.25">
      <c r="A76" s="42">
        <v>72</v>
      </c>
      <c r="B76" s="8" t="str">
        <f>HYPERLINK("https://www.nuffieldhealth.com/hospitals/plymouth/treatments?category=dermatology#filters","Dermatology Service, Plymouth Hospital")</f>
        <v>Dermatology Service, Plymouth Hospital</v>
      </c>
      <c r="C76" s="43" t="s">
        <v>31</v>
      </c>
      <c r="D76" s="43" t="s">
        <v>32</v>
      </c>
      <c r="E76" s="8" t="s">
        <v>1098</v>
      </c>
      <c r="F76" s="44" t="s">
        <v>1331</v>
      </c>
      <c r="G76" s="44" t="s">
        <v>906</v>
      </c>
      <c r="H76" s="8"/>
    </row>
    <row r="77" spans="1:8" ht="16" customHeight="1" x14ac:dyDescent="0.25">
      <c r="A77" s="42">
        <v>73</v>
      </c>
      <c r="B77" s="8" t="str">
        <f>HYPERLINK("https://www.renacreshospital.co.uk/specialists?query=dermatology","Dermatology Service, Renacres Hospital")</f>
        <v>Dermatology Service, Renacres Hospital</v>
      </c>
      <c r="C77" s="43" t="s">
        <v>31</v>
      </c>
      <c r="D77" s="43" t="s">
        <v>32</v>
      </c>
      <c r="E77" s="8" t="s">
        <v>1099</v>
      </c>
      <c r="F77" s="44" t="s">
        <v>1331</v>
      </c>
      <c r="G77" s="44" t="s">
        <v>904</v>
      </c>
      <c r="H77" s="8"/>
    </row>
    <row r="78" spans="1:8" ht="16" customHeight="1" x14ac:dyDescent="0.25">
      <c r="A78" s="42">
        <v>74</v>
      </c>
      <c r="B78" s="8" t="str">
        <f>HYPERLINK("https://www.rivershospital.co.uk/specialists?query=Dermatology","Dermatology Service, Rivers Hospital")</f>
        <v>Dermatology Service, Rivers Hospital</v>
      </c>
      <c r="C78" s="43" t="s">
        <v>31</v>
      </c>
      <c r="D78" s="43" t="s">
        <v>32</v>
      </c>
      <c r="E78" s="8" t="s">
        <v>1100</v>
      </c>
      <c r="F78" s="44" t="s">
        <v>1331</v>
      </c>
      <c r="G78" s="44" t="s">
        <v>904</v>
      </c>
      <c r="H78" s="8"/>
    </row>
    <row r="79" spans="1:8" ht="16" customHeight="1" x14ac:dyDescent="0.25">
      <c r="A79" s="42">
        <v>75</v>
      </c>
      <c r="B79" s="8" t="str">
        <f>HYPERLINK("https://www.rowleyhallhospital.co.uk/specialists?query=Dermatology","Dermatology Service, Rowley Hall Hospital")</f>
        <v>Dermatology Service, Rowley Hall Hospital</v>
      </c>
      <c r="C79" s="43" t="s">
        <v>31</v>
      </c>
      <c r="D79" s="43" t="s">
        <v>32</v>
      </c>
      <c r="E79" s="8" t="s">
        <v>1101</v>
      </c>
      <c r="F79" s="44" t="s">
        <v>1331</v>
      </c>
      <c r="G79" s="44" t="s">
        <v>904</v>
      </c>
      <c r="H79" s="8"/>
    </row>
    <row r="80" spans="1:8" ht="16" customHeight="1" x14ac:dyDescent="0.25">
      <c r="A80" s="42">
        <v>76</v>
      </c>
      <c r="B80" s="8" t="str">
        <f>HYPERLINK("https://www.royalfreeprivatepatients.com/specialties/dermatology/","Dermatology Service, Royal Free Private Patients Unit")</f>
        <v>Dermatology Service, Royal Free Private Patients Unit</v>
      </c>
      <c r="C80" s="43" t="s">
        <v>31</v>
      </c>
      <c r="D80" s="43" t="s">
        <v>32</v>
      </c>
      <c r="E80" s="8" t="s">
        <v>1102</v>
      </c>
      <c r="F80" s="44" t="s">
        <v>1331</v>
      </c>
      <c r="G80" s="44" t="s">
        <v>906</v>
      </c>
      <c r="H80" s="8"/>
    </row>
    <row r="81" spans="1:8" ht="16" customHeight="1" x14ac:dyDescent="0.25">
      <c r="A81" s="42">
        <v>77</v>
      </c>
      <c r="B81" s="8" t="str">
        <f>HYPERLINK("https://www.circlehealthgroup.co.uk/hospitals/sarum-road-hospital/dermatology","Dermatology Service, Sarum Road Hospital")</f>
        <v>Dermatology Service, Sarum Road Hospital</v>
      </c>
      <c r="C81" s="43" t="s">
        <v>31</v>
      </c>
      <c r="D81" s="43" t="s">
        <v>32</v>
      </c>
      <c r="E81" s="8" t="s">
        <v>1103</v>
      </c>
      <c r="F81" s="44" t="s">
        <v>1331</v>
      </c>
      <c r="G81" s="44" t="s">
        <v>906</v>
      </c>
      <c r="H81" s="8"/>
    </row>
    <row r="82" spans="1:8" ht="16" customHeight="1" x14ac:dyDescent="0.25">
      <c r="A82" s="42">
        <v>78</v>
      </c>
      <c r="B82" s="8" t="str">
        <f>HYPERLINK("https://www.circlehealthgroup.co.uk/hospitals/shirley-oaks-hospital/dermatology","Dermatology Service, Shirley Oaks Hospital")</f>
        <v>Dermatology Service, Shirley Oaks Hospital</v>
      </c>
      <c r="C82" s="43" t="s">
        <v>31</v>
      </c>
      <c r="D82" s="43" t="s">
        <v>32</v>
      </c>
      <c r="E82" s="8" t="s">
        <v>1104</v>
      </c>
      <c r="F82" s="44" t="s">
        <v>1331</v>
      </c>
      <c r="G82" s="44" t="s">
        <v>906</v>
      </c>
      <c r="H82" s="8"/>
    </row>
    <row r="83" spans="1:8" ht="16" customHeight="1" x14ac:dyDescent="0.25">
      <c r="A83" s="42">
        <v>79</v>
      </c>
      <c r="B83" s="8" t="str">
        <f>HYPERLINK("https://www.nuffieldhealth.com/hospitals/shrewsbury/treatments?category=dermatology#filters","Dermatology Service, Shrewsbury Hospital")</f>
        <v>Dermatology Service, Shrewsbury Hospital</v>
      </c>
      <c r="C83" s="43" t="s">
        <v>31</v>
      </c>
      <c r="D83" s="43" t="s">
        <v>32</v>
      </c>
      <c r="E83" s="8" t="s">
        <v>1105</v>
      </c>
      <c r="F83" s="44" t="s">
        <v>1331</v>
      </c>
      <c r="G83" s="44" t="s">
        <v>906</v>
      </c>
      <c r="H83" s="8"/>
    </row>
    <row r="84" spans="1:8" ht="16" customHeight="1" x14ac:dyDescent="0.25">
      <c r="A84" s="42">
        <v>80</v>
      </c>
      <c r="B84" s="8" t="str">
        <f>HYPERLINK("https://www.spirehealthcare.com/spire-alexandra-hospital/treatments/skin-treatments/","Dermatology Service, Spire Alexandra Hospital")</f>
        <v>Dermatology Service, Spire Alexandra Hospital</v>
      </c>
      <c r="C84" s="43" t="s">
        <v>31</v>
      </c>
      <c r="D84" s="43" t="s">
        <v>32</v>
      </c>
      <c r="E84" s="8" t="s">
        <v>1106</v>
      </c>
      <c r="F84" s="44" t="s">
        <v>1331</v>
      </c>
      <c r="G84" s="44" t="s">
        <v>906</v>
      </c>
      <c r="H84" s="8"/>
    </row>
    <row r="85" spans="1:8" ht="16" customHeight="1" x14ac:dyDescent="0.25">
      <c r="A85" s="42">
        <v>81</v>
      </c>
      <c r="B85" s="8" t="str">
        <f>HYPERLINK("https://www.spirehealthcare.com/spire-bristol-hospital/treatments/a-z/eczema-and-dermatitis-treatment/","Dermatology Service, Spire Bristol Hospital")</f>
        <v>Dermatology Service, Spire Bristol Hospital</v>
      </c>
      <c r="C85" s="43" t="s">
        <v>31</v>
      </c>
      <c r="D85" s="43" t="s">
        <v>32</v>
      </c>
      <c r="E85" s="8" t="s">
        <v>1107</v>
      </c>
      <c r="F85" s="44" t="s">
        <v>1331</v>
      </c>
      <c r="G85" s="44" t="s">
        <v>906</v>
      </c>
      <c r="H85" s="8"/>
    </row>
    <row r="86" spans="1:8" ht="16" customHeight="1" x14ac:dyDescent="0.25">
      <c r="A86" s="42">
        <v>82</v>
      </c>
      <c r="B86" s="8" t="str">
        <f>HYPERLINK("https://www.spirehealthcare.com/spire-bushey-diagnostic-centre/home/","Dermatology Service, Spire Bushey Diagnostic Centre")</f>
        <v>Dermatology Service, Spire Bushey Diagnostic Centre</v>
      </c>
      <c r="C86" s="43" t="s">
        <v>31</v>
      </c>
      <c r="D86" s="43" t="s">
        <v>32</v>
      </c>
      <c r="E86" s="8" t="s">
        <v>1108</v>
      </c>
      <c r="F86" s="44" t="s">
        <v>1331</v>
      </c>
      <c r="G86" s="44" t="s">
        <v>904</v>
      </c>
      <c r="H86" s="8"/>
    </row>
    <row r="87" spans="1:8" ht="16" customHeight="1" x14ac:dyDescent="0.25">
      <c r="A87" s="42">
        <v>83</v>
      </c>
      <c r="B87" s="8" t="str">
        <f>HYPERLINK("https://www.spirehealthcare.com/spire-bushey-hospital/","Dermatology Service, Spire Bushey Hospital")</f>
        <v>Dermatology Service, Spire Bushey Hospital</v>
      </c>
      <c r="C87" s="43" t="s">
        <v>31</v>
      </c>
      <c r="D87" s="43" t="s">
        <v>32</v>
      </c>
      <c r="E87" s="8" t="s">
        <v>1109</v>
      </c>
      <c r="F87" s="44" t="s">
        <v>1331</v>
      </c>
      <c r="G87" s="44" t="s">
        <v>906</v>
      </c>
      <c r="H87" s="8"/>
    </row>
    <row r="88" spans="1:8" ht="16" customHeight="1" x14ac:dyDescent="0.25">
      <c r="A88" s="42">
        <v>84</v>
      </c>
      <c r="B88" s="8" t="str">
        <f>HYPERLINK("https://www.spirehealthcare.com/spire-cambridge-lea-hospital/treatments/skin-treatments/","Dermatology Service, Spire Cambridge Lea Hospital")</f>
        <v>Dermatology Service, Spire Cambridge Lea Hospital</v>
      </c>
      <c r="C88" s="43" t="s">
        <v>31</v>
      </c>
      <c r="D88" s="43" t="s">
        <v>32</v>
      </c>
      <c r="E88" s="8" t="s">
        <v>1110</v>
      </c>
      <c r="F88" s="44" t="s">
        <v>1331</v>
      </c>
      <c r="G88" s="44" t="s">
        <v>906</v>
      </c>
      <c r="H88" s="8"/>
    </row>
    <row r="89" spans="1:8" ht="16" customHeight="1" x14ac:dyDescent="0.25">
      <c r="A89" s="42">
        <v>85</v>
      </c>
      <c r="B89" s="8" t="str">
        <f>HYPERLINK("https://www.spirehealthcare.com/spire-cheshire-hospital/treatments/skin-treatments/","Dermatology Service, Spire Cheshire Hospital")</f>
        <v>Dermatology Service, Spire Cheshire Hospital</v>
      </c>
      <c r="C89" s="43" t="s">
        <v>31</v>
      </c>
      <c r="D89" s="43" t="s">
        <v>32</v>
      </c>
      <c r="E89" s="8" t="s">
        <v>1111</v>
      </c>
      <c r="F89" s="44" t="s">
        <v>1331</v>
      </c>
      <c r="G89" s="44" t="s">
        <v>906</v>
      </c>
      <c r="H89" s="8"/>
    </row>
    <row r="90" spans="1:8" ht="16" customHeight="1" x14ac:dyDescent="0.25">
      <c r="A90" s="42">
        <v>86</v>
      </c>
      <c r="B90" s="8" t="str">
        <f>HYPERLINK("https://www.spirehealthcare.com/spire-clare-park-hospital/treatments/skin-treatments/","Dermatology Service, Spire Clare Park Hospital")</f>
        <v>Dermatology Service, Spire Clare Park Hospital</v>
      </c>
      <c r="C90" s="43" t="s">
        <v>31</v>
      </c>
      <c r="D90" s="43" t="s">
        <v>32</v>
      </c>
      <c r="E90" s="8" t="s">
        <v>1112</v>
      </c>
      <c r="F90" s="44" t="s">
        <v>1331</v>
      </c>
      <c r="G90" s="44" t="s">
        <v>906</v>
      </c>
      <c r="H90" s="8"/>
    </row>
    <row r="91" spans="1:8" ht="16" customHeight="1" x14ac:dyDescent="0.25">
      <c r="A91" s="42">
        <v>87</v>
      </c>
      <c r="B91" s="8" t="str">
        <f>HYPERLINK("https://www.spirehealthcare.com/spire-claremont-hospital/treatments-and-services/a-z/eczema-and-dermatitis-treatment/","Dermatology Service, Spire Claremont Hospital")</f>
        <v>Dermatology Service, Spire Claremont Hospital</v>
      </c>
      <c r="C91" s="43" t="s">
        <v>31</v>
      </c>
      <c r="D91" s="43" t="s">
        <v>32</v>
      </c>
      <c r="E91" s="8" t="s">
        <v>1113</v>
      </c>
      <c r="F91" s="44" t="s">
        <v>1331</v>
      </c>
      <c r="G91" s="44" t="s">
        <v>906</v>
      </c>
      <c r="H91" s="8"/>
    </row>
    <row r="92" spans="1:8" ht="16" customHeight="1" x14ac:dyDescent="0.25">
      <c r="A92" s="42">
        <v>88</v>
      </c>
      <c r="B92" s="8" t="str">
        <f>HYPERLINK("https://www.spirehealthcare.com/spire-dunedin-hospital/treatments/skin-treatments/","Dermatology Service, Spire Dunedin Hospital")</f>
        <v>Dermatology Service, Spire Dunedin Hospital</v>
      </c>
      <c r="C92" s="43" t="s">
        <v>31</v>
      </c>
      <c r="D92" s="43" t="s">
        <v>32</v>
      </c>
      <c r="E92" s="8" t="s">
        <v>1114</v>
      </c>
      <c r="F92" s="44" t="s">
        <v>1331</v>
      </c>
      <c r="G92" s="44" t="s">
        <v>906</v>
      </c>
      <c r="H92" s="8"/>
    </row>
    <row r="93" spans="1:8" ht="16" customHeight="1" x14ac:dyDescent="0.25">
      <c r="A93" s="42">
        <v>89</v>
      </c>
      <c r="B93" s="8" t="str">
        <f>HYPERLINK("https://www.spirehealthcare.com/spire-elland-hospital/treatments/skin-treatments/","Dermatology Service, Spire Elland Hospital")</f>
        <v>Dermatology Service, Spire Elland Hospital</v>
      </c>
      <c r="C93" s="43" t="s">
        <v>31</v>
      </c>
      <c r="D93" s="43" t="s">
        <v>32</v>
      </c>
      <c r="E93" s="8" t="s">
        <v>1115</v>
      </c>
      <c r="F93" s="44" t="s">
        <v>1331</v>
      </c>
      <c r="G93" s="44" t="s">
        <v>906</v>
      </c>
      <c r="H93" s="8"/>
    </row>
    <row r="94" spans="1:8" ht="16" customHeight="1" x14ac:dyDescent="0.25">
      <c r="A94" s="42">
        <v>90</v>
      </c>
      <c r="B94" s="8" t="str">
        <f>HYPERLINK("https://www.spirehealthcare.com/spire-fylde-coast-hospital/treatments/skin-treatments/","Dermatology Service, Spire Fylde Coast Hospital")</f>
        <v>Dermatology Service, Spire Fylde Coast Hospital</v>
      </c>
      <c r="C94" s="43" t="s">
        <v>31</v>
      </c>
      <c r="D94" s="43" t="s">
        <v>32</v>
      </c>
      <c r="E94" s="8" t="s">
        <v>1116</v>
      </c>
      <c r="F94" s="44" t="s">
        <v>1331</v>
      </c>
      <c r="G94" s="44" t="s">
        <v>906</v>
      </c>
      <c r="H94" s="8"/>
    </row>
    <row r="95" spans="1:8" ht="16" customHeight="1" x14ac:dyDescent="0.25">
      <c r="A95" s="42">
        <v>91</v>
      </c>
      <c r="B95" s="8" t="str">
        <f>HYPERLINK("https://www.spirehealthcare.com/spire-gatwick-park-hospital/treatments/skin-treatments/","Dermatology Service, Spire Gatwick Park Hospital")</f>
        <v>Dermatology Service, Spire Gatwick Park Hospital</v>
      </c>
      <c r="C95" s="43" t="s">
        <v>31</v>
      </c>
      <c r="D95" s="43" t="s">
        <v>32</v>
      </c>
      <c r="E95" s="8" t="s">
        <v>1117</v>
      </c>
      <c r="F95" s="44" t="s">
        <v>1331</v>
      </c>
      <c r="G95" s="44" t="s">
        <v>906</v>
      </c>
      <c r="H95" s="8"/>
    </row>
    <row r="96" spans="1:8" ht="16" customHeight="1" x14ac:dyDescent="0.25">
      <c r="A96" s="42">
        <v>92</v>
      </c>
      <c r="B96" s="8" t="str">
        <f>HYPERLINK("https://www.spirehealthcare.com/spire-harpenden-hospital/treatments/skin-treatments/","Dermatology Service, Spire Harpenden Hospital")</f>
        <v>Dermatology Service, Spire Harpenden Hospital</v>
      </c>
      <c r="C96" s="43" t="s">
        <v>31</v>
      </c>
      <c r="D96" s="43" t="s">
        <v>32</v>
      </c>
      <c r="E96" s="8" t="s">
        <v>1118</v>
      </c>
      <c r="F96" s="44" t="s">
        <v>1331</v>
      </c>
      <c r="G96" s="44" t="s">
        <v>906</v>
      </c>
      <c r="H96" s="8"/>
    </row>
    <row r="97" spans="1:8" ht="16" customHeight="1" x14ac:dyDescent="0.25">
      <c r="A97" s="42">
        <v>93</v>
      </c>
      <c r="B97" s="8" t="str">
        <f>HYPERLINK("https://www.spirehealthcare.com/spire-hartswood-hospital/treatments/skin-treatments/","Dermatology Service, Spire Hartswood Hospital")</f>
        <v>Dermatology Service, Spire Hartswood Hospital</v>
      </c>
      <c r="C97" s="43" t="s">
        <v>31</v>
      </c>
      <c r="D97" s="43" t="s">
        <v>32</v>
      </c>
      <c r="E97" s="8" t="s">
        <v>1119</v>
      </c>
      <c r="F97" s="44" t="s">
        <v>1331</v>
      </c>
      <c r="G97" s="44" t="s">
        <v>906</v>
      </c>
      <c r="H97" s="8"/>
    </row>
    <row r="98" spans="1:8" ht="16" customHeight="1" x14ac:dyDescent="0.25">
      <c r="A98" s="42">
        <v>94</v>
      </c>
      <c r="B98" s="8" t="str">
        <f>HYPERLINK("https://www.spirehealthcare.com/spire-hesslewood-clinic/home/","Dermatology Service, Spire Hesslewood Clinic")</f>
        <v>Dermatology Service, Spire Hesslewood Clinic</v>
      </c>
      <c r="C98" s="43" t="s">
        <v>31</v>
      </c>
      <c r="D98" s="43" t="s">
        <v>32</v>
      </c>
      <c r="E98" s="8" t="s">
        <v>1120</v>
      </c>
      <c r="F98" s="44" t="s">
        <v>1331</v>
      </c>
      <c r="G98" s="44" t="s">
        <v>906</v>
      </c>
      <c r="H98" s="8"/>
    </row>
    <row r="99" spans="1:8" ht="16" customHeight="1" x14ac:dyDescent="0.25">
      <c r="A99" s="42">
        <v>95</v>
      </c>
      <c r="B99" s="8" t="str">
        <f>HYPERLINK("https://www.spirehealthcare.com/spire-hull-and-east-riding-hospital/treatments/a-z/eczema-and-dermatitis/","Dermatology Service, Spire Hull and East Riding Hospital")</f>
        <v>Dermatology Service, Spire Hull and East Riding Hospital</v>
      </c>
      <c r="C99" s="43" t="s">
        <v>31</v>
      </c>
      <c r="D99" s="43" t="s">
        <v>32</v>
      </c>
      <c r="E99" s="8" t="s">
        <v>1121</v>
      </c>
      <c r="F99" s="44" t="s">
        <v>1331</v>
      </c>
      <c r="G99" s="44" t="s">
        <v>906</v>
      </c>
      <c r="H99" s="8"/>
    </row>
    <row r="100" spans="1:8" ht="16" customHeight="1" x14ac:dyDescent="0.25">
      <c r="A100" s="42">
        <v>96</v>
      </c>
      <c r="B100" s="8" t="str">
        <f>HYPERLINK("https://www.spirehealthcare.com/spire-kenmore-clinic/","Dermatology Service, Spire Kenmore Clinic")</f>
        <v>Dermatology Service, Spire Kenmore Clinic</v>
      </c>
      <c r="C100" s="43" t="s">
        <v>31</v>
      </c>
      <c r="D100" s="43" t="s">
        <v>32</v>
      </c>
      <c r="E100" s="8" t="s">
        <v>1122</v>
      </c>
      <c r="F100" s="44" t="s">
        <v>1331</v>
      </c>
      <c r="G100" s="44" t="s">
        <v>904</v>
      </c>
      <c r="H100" s="8"/>
    </row>
    <row r="101" spans="1:8" ht="16" customHeight="1" x14ac:dyDescent="0.25">
      <c r="A101" s="42">
        <v>97</v>
      </c>
      <c r="B101" s="8" t="str">
        <f>HYPERLINK("https://www.spirehealthcare.com/spire-leeds-hospital/consultants/profiles/?filterConsultantType=consultant&amp;filterTreatmentSpeciality=Dermatology&amp;filterLocation=&amp;filterName=&amp;filterByBookable=false","Dermatology Service, Spire Leeds Hospital")</f>
        <v>Dermatology Service, Spire Leeds Hospital</v>
      </c>
      <c r="C101" s="43" t="s">
        <v>31</v>
      </c>
      <c r="D101" s="43" t="s">
        <v>32</v>
      </c>
      <c r="E101" s="8" t="s">
        <v>1123</v>
      </c>
      <c r="F101" s="44" t="s">
        <v>1331</v>
      </c>
      <c r="G101" s="44" t="s">
        <v>906</v>
      </c>
      <c r="H101" s="8"/>
    </row>
    <row r="102" spans="1:8" ht="16" customHeight="1" x14ac:dyDescent="0.25">
      <c r="A102" s="42">
        <v>98</v>
      </c>
      <c r="B102" s="8" t="str">
        <f>HYPERLINK("https://www.spirehealthcare.com/spire-leicester-hospital/treatments/skin-treatments/our-dermatology-consultants/","Dermatology Service, Spire Leicester Hospital")</f>
        <v>Dermatology Service, Spire Leicester Hospital</v>
      </c>
      <c r="C102" s="43" t="s">
        <v>31</v>
      </c>
      <c r="D102" s="43" t="s">
        <v>32</v>
      </c>
      <c r="E102" s="8" t="s">
        <v>1124</v>
      </c>
      <c r="F102" s="44" t="s">
        <v>1331</v>
      </c>
      <c r="G102" s="44" t="s">
        <v>906</v>
      </c>
      <c r="H102" s="8"/>
    </row>
    <row r="103" spans="1:8" ht="16" customHeight="1" x14ac:dyDescent="0.25">
      <c r="A103" s="42">
        <v>99</v>
      </c>
      <c r="B103" s="8" t="str">
        <f>HYPERLINK("https://www.spirehealthcare.com/spire-little-aston-hospital/treatments/a-z/eczema-and-dermatitis-treatment/","Dermatology Service, Spire Little Aston Hospital")</f>
        <v>Dermatology Service, Spire Little Aston Hospital</v>
      </c>
      <c r="C103" s="43" t="s">
        <v>31</v>
      </c>
      <c r="D103" s="43" t="s">
        <v>32</v>
      </c>
      <c r="E103" s="8" t="s">
        <v>1125</v>
      </c>
      <c r="F103" s="44" t="s">
        <v>1331</v>
      </c>
      <c r="G103" s="44" t="s">
        <v>906</v>
      </c>
      <c r="H103" s="8"/>
    </row>
    <row r="104" spans="1:8" ht="16" customHeight="1" x14ac:dyDescent="0.25">
      <c r="A104" s="42">
        <v>100</v>
      </c>
      <c r="B104" s="8" t="str">
        <f>HYPERLINK("https://www.spirehealthcare.com/spire-liverpool-hospital/treatments/skin-treatments/","Dermatology Service, Spire Liverpool Hospital")</f>
        <v>Dermatology Service, Spire Liverpool Hospital</v>
      </c>
      <c r="C104" s="43" t="s">
        <v>31</v>
      </c>
      <c r="D104" s="43" t="s">
        <v>32</v>
      </c>
      <c r="E104" s="8" t="s">
        <v>1126</v>
      </c>
      <c r="F104" s="44" t="s">
        <v>1331</v>
      </c>
      <c r="G104" s="44" t="s">
        <v>906</v>
      </c>
      <c r="H104" s="8"/>
    </row>
    <row r="105" spans="1:8" ht="16" customHeight="1" x14ac:dyDescent="0.25">
      <c r="A105" s="42">
        <v>101</v>
      </c>
      <c r="B105" s="8" t="str">
        <f>HYPERLINK("https://www.spirehealthcare.com/spire-london-east-hospital/treatments/skin-treatments/","Dermatology Service, Spire London East Hospital")</f>
        <v>Dermatology Service, Spire London East Hospital</v>
      </c>
      <c r="C105" s="43" t="s">
        <v>31</v>
      </c>
      <c r="D105" s="43" t="s">
        <v>32</v>
      </c>
      <c r="E105" s="8" t="s">
        <v>1127</v>
      </c>
      <c r="F105" s="44" t="s">
        <v>1331</v>
      </c>
      <c r="G105" s="44" t="s">
        <v>906</v>
      </c>
      <c r="H105" s="8"/>
    </row>
    <row r="106" spans="1:8" ht="16" customHeight="1" x14ac:dyDescent="0.25">
      <c r="A106" s="42">
        <v>102</v>
      </c>
      <c r="B106" s="8" t="str">
        <f>HYPERLINK("https://www.spirehealthcare.com/spire-manchester-clinic-hale/home/","Dermatology Service, Spire Manchester Clinic Hale")</f>
        <v>Dermatology Service, Spire Manchester Clinic Hale</v>
      </c>
      <c r="C106" s="43" t="s">
        <v>31</v>
      </c>
      <c r="D106" s="43" t="s">
        <v>32</v>
      </c>
      <c r="E106" s="8" t="s">
        <v>1128</v>
      </c>
      <c r="F106" s="44" t="s">
        <v>1331</v>
      </c>
      <c r="G106" s="44" t="s">
        <v>904</v>
      </c>
      <c r="H106" s="8"/>
    </row>
    <row r="107" spans="1:8" ht="16" customHeight="1" x14ac:dyDescent="0.25">
      <c r="A107" s="42">
        <v>103</v>
      </c>
      <c r="B107" s="8" t="str">
        <f>HYPERLINK("https://www.spirehealthcare.com/spire-manchester-hospital/treatments/skin-treatments/","Dermatology Service, Spire Manchester Hospital")</f>
        <v>Dermatology Service, Spire Manchester Hospital</v>
      </c>
      <c r="C107" s="43" t="s">
        <v>31</v>
      </c>
      <c r="D107" s="43" t="s">
        <v>32</v>
      </c>
      <c r="E107" s="8" t="s">
        <v>1129</v>
      </c>
      <c r="F107" s="44" t="s">
        <v>1331</v>
      </c>
      <c r="G107" s="44" t="s">
        <v>906</v>
      </c>
      <c r="H107" s="8"/>
    </row>
    <row r="108" spans="1:8" ht="16" customHeight="1" x14ac:dyDescent="0.25">
      <c r="A108" s="42">
        <v>104</v>
      </c>
      <c r="B108" s="8" t="str">
        <f>HYPERLINK("https://www.spirehealthcare.com/spire-methley-park-hospital/treatments/skin-treatments/","Dermatology Service, Spire Methley Park Hospital")</f>
        <v>Dermatology Service, Spire Methley Park Hospital</v>
      </c>
      <c r="C108" s="43" t="s">
        <v>31</v>
      </c>
      <c r="D108" s="43" t="s">
        <v>32</v>
      </c>
      <c r="E108" s="8" t="s">
        <v>1130</v>
      </c>
      <c r="F108" s="44" t="s">
        <v>1331</v>
      </c>
      <c r="G108" s="44" t="s">
        <v>906</v>
      </c>
      <c r="H108" s="8"/>
    </row>
    <row r="109" spans="1:8" ht="16" customHeight="1" x14ac:dyDescent="0.25">
      <c r="A109" s="42">
        <v>105</v>
      </c>
      <c r="B109" s="2" t="str">
        <f>HYPERLINK("https://www.spirehealthcare.com/spire-murrayfield-hospital-wirral/consultants/profiles/?filterConsultantType=undefined&amp;filterTreatmentSpeciality=Dermatology&amp;filterLocation=&amp;filterName=&amp;filterByBookable=false","Dermatology Service, Spire Murrayfield Hospital Wirral")</f>
        <v>Dermatology Service, Spire Murrayfield Hospital Wirral</v>
      </c>
      <c r="C109" s="43" t="s">
        <v>31</v>
      </c>
      <c r="D109" s="43" t="s">
        <v>32</v>
      </c>
      <c r="E109" s="2" t="s">
        <v>1338</v>
      </c>
      <c r="F109" s="44" t="s">
        <v>1331</v>
      </c>
      <c r="G109" s="44" t="s">
        <v>906</v>
      </c>
      <c r="H109" s="8"/>
    </row>
    <row r="110" spans="1:8" ht="16" customHeight="1" x14ac:dyDescent="0.25">
      <c r="A110" s="42">
        <v>106</v>
      </c>
      <c r="B110" s="8" t="str">
        <f>HYPERLINK("https://www.spirehealthcare.com/spire-norwich-hospital/treatments/skin-treatments/","Dermatology Service, Spire Norwich Hospital")</f>
        <v>Dermatology Service, Spire Norwich Hospital</v>
      </c>
      <c r="C110" s="43" t="s">
        <v>31</v>
      </c>
      <c r="D110" s="43" t="s">
        <v>32</v>
      </c>
      <c r="E110" s="8" t="s">
        <v>1131</v>
      </c>
      <c r="F110" s="44" t="s">
        <v>1331</v>
      </c>
      <c r="G110" s="44" t="s">
        <v>906</v>
      </c>
      <c r="H110" s="8"/>
    </row>
    <row r="111" spans="1:8" ht="16" customHeight="1" x14ac:dyDescent="0.25">
      <c r="A111" s="42">
        <v>107</v>
      </c>
      <c r="B111" s="8" t="str">
        <f>HYPERLINK("https://www.spirehealthcare.com/spire-nottingham-hospital/treatments/skin-treatments/","Dermatology Service, Spire Nottingham Hospital")</f>
        <v>Dermatology Service, Spire Nottingham Hospital</v>
      </c>
      <c r="C111" s="43" t="s">
        <v>31</v>
      </c>
      <c r="D111" s="43" t="s">
        <v>32</v>
      </c>
      <c r="E111" s="8" t="s">
        <v>1132</v>
      </c>
      <c r="F111" s="44" t="s">
        <v>1331</v>
      </c>
      <c r="G111" s="44" t="s">
        <v>906</v>
      </c>
      <c r="H111" s="8"/>
    </row>
    <row r="112" spans="1:8" ht="16" customHeight="1" x14ac:dyDescent="0.25">
      <c r="A112" s="42">
        <v>108</v>
      </c>
      <c r="B112" s="8" t="str">
        <f>HYPERLINK("https://www.spirehealthcare.com/spire-parkway-hospital/treatments/skin-treatments/","Dermatology Service, Spire Parkway Hospital")</f>
        <v>Dermatology Service, Spire Parkway Hospital</v>
      </c>
      <c r="C112" s="43" t="s">
        <v>31</v>
      </c>
      <c r="D112" s="43" t="s">
        <v>32</v>
      </c>
      <c r="E112" s="8" t="s">
        <v>1133</v>
      </c>
      <c r="F112" s="44" t="s">
        <v>1331</v>
      </c>
      <c r="G112" s="44" t="s">
        <v>906</v>
      </c>
      <c r="H112" s="8"/>
    </row>
    <row r="113" spans="1:8" ht="16" customHeight="1" x14ac:dyDescent="0.25">
      <c r="A113" s="42">
        <v>109</v>
      </c>
      <c r="B113" s="8" t="str">
        <f>HYPERLINK("https://www.spirehealthcare.com/spire-portsmouth-hospital/treatments/skin-treatments/","Dermatology Service, Spire Portsmouth Hospital")</f>
        <v>Dermatology Service, Spire Portsmouth Hospital</v>
      </c>
      <c r="C113" s="43" t="s">
        <v>31</v>
      </c>
      <c r="D113" s="43" t="s">
        <v>32</v>
      </c>
      <c r="E113" s="8" t="s">
        <v>1134</v>
      </c>
      <c r="F113" s="44" t="s">
        <v>1331</v>
      </c>
      <c r="G113" s="44" t="s">
        <v>906</v>
      </c>
      <c r="H113" s="8"/>
    </row>
    <row r="114" spans="1:8" ht="16" customHeight="1" x14ac:dyDescent="0.25">
      <c r="A114" s="42">
        <v>110</v>
      </c>
      <c r="B114" s="8" t="str">
        <f>HYPERLINK("https://www.spirehealthcare.com/spire-regency-hospital-macclesfield/treatments/skin-treatments/meet-the-team/","Dermatology Service, Spire Regency Hospital Macclesfield")</f>
        <v>Dermatology Service, Spire Regency Hospital Macclesfield</v>
      </c>
      <c r="C114" s="43" t="s">
        <v>31</v>
      </c>
      <c r="D114" s="43" t="s">
        <v>32</v>
      </c>
      <c r="E114" s="8" t="s">
        <v>1135</v>
      </c>
      <c r="F114" s="44" t="s">
        <v>1331</v>
      </c>
      <c r="G114" s="44" t="s">
        <v>906</v>
      </c>
      <c r="H114" s="8"/>
    </row>
    <row r="115" spans="1:8" ht="16" customHeight="1" x14ac:dyDescent="0.25">
      <c r="A115" s="42">
        <v>111</v>
      </c>
      <c r="B115" s="8" t="str">
        <f>HYPERLINK("https://www.spirehealthcare.com/spire-south-bank-hospital/treatments/skin-treatments/","Dermatology Service, Spire South Bank Hospital")</f>
        <v>Dermatology Service, Spire South Bank Hospital</v>
      </c>
      <c r="C115" s="43" t="s">
        <v>31</v>
      </c>
      <c r="D115" s="43" t="s">
        <v>32</v>
      </c>
      <c r="E115" s="8" t="s">
        <v>1136</v>
      </c>
      <c r="F115" s="44" t="s">
        <v>1331</v>
      </c>
      <c r="G115" s="44" t="s">
        <v>906</v>
      </c>
      <c r="H115" s="8"/>
    </row>
    <row r="116" spans="1:8" ht="16" customHeight="1" x14ac:dyDescent="0.25">
      <c r="A116" s="42">
        <v>112</v>
      </c>
      <c r="B116" s="8" t="str">
        <f>HYPERLINK("https://www.spirehealthcare.com/spire-southampton-hospital/treatments/skin-treatments/","Dermatology Service, Spire Southampton Hospital")</f>
        <v>Dermatology Service, Spire Southampton Hospital</v>
      </c>
      <c r="C116" s="43" t="s">
        <v>31</v>
      </c>
      <c r="D116" s="43" t="s">
        <v>32</v>
      </c>
      <c r="E116" s="8" t="s">
        <v>1137</v>
      </c>
      <c r="F116" s="44" t="s">
        <v>1331</v>
      </c>
      <c r="G116" s="44" t="s">
        <v>904</v>
      </c>
      <c r="H116" s="8"/>
    </row>
    <row r="117" spans="1:8" ht="16" customHeight="1" x14ac:dyDescent="0.25">
      <c r="A117" s="42">
        <v>113</v>
      </c>
      <c r="B117" s="8" t="str">
        <f>HYPERLINK("https://www.spirehealthcare.com/spire-st-anthonys-hospital/treatments/skin-treatments/","Dermatology Service, Spire St Anthony's Hospital")</f>
        <v>Dermatology Service, Spire St Anthony's Hospital</v>
      </c>
      <c r="C117" s="43" t="s">
        <v>31</v>
      </c>
      <c r="D117" s="43" t="s">
        <v>32</v>
      </c>
      <c r="E117" s="8" t="s">
        <v>1138</v>
      </c>
      <c r="F117" s="44" t="s">
        <v>1331</v>
      </c>
      <c r="G117" s="44" t="s">
        <v>904</v>
      </c>
      <c r="H117" s="8"/>
    </row>
    <row r="118" spans="1:8" ht="16" customHeight="1" x14ac:dyDescent="0.25">
      <c r="A118" s="42">
        <v>114</v>
      </c>
      <c r="B118" s="8" t="str">
        <f>HYPERLINK("https://www.spirehealthcare.com/spire-tarporley-clinic/home/","Dermatology Service, Spire Tarporley Clinic")</f>
        <v>Dermatology Service, Spire Tarporley Clinic</v>
      </c>
      <c r="C118" s="43" t="s">
        <v>31</v>
      </c>
      <c r="D118" s="43" t="s">
        <v>32</v>
      </c>
      <c r="E118" s="8" t="s">
        <v>1139</v>
      </c>
      <c r="F118" s="44" t="s">
        <v>1331</v>
      </c>
      <c r="G118" s="44" t="s">
        <v>904</v>
      </c>
      <c r="H118" s="8"/>
    </row>
    <row r="119" spans="1:8" ht="16" customHeight="1" x14ac:dyDescent="0.25">
      <c r="A119" s="42">
        <v>115</v>
      </c>
      <c r="B119" s="8" t="str">
        <f>HYPERLINK("https://www.spirehealthcare.com/spire-thames-valley-hospital/consultants/profiles/?filterConsultantType=consultant&amp;filterTreatmentSpeciality=Dermatology&amp;filterLocation=&amp;filterName=&amp;filterByBookable=false","Dermatology Service, Spire Thames Valley Hospital")</f>
        <v>Dermatology Service, Spire Thames Valley Hospital</v>
      </c>
      <c r="C119" s="43" t="s">
        <v>31</v>
      </c>
      <c r="D119" s="43" t="s">
        <v>32</v>
      </c>
      <c r="E119" s="8" t="s">
        <v>1140</v>
      </c>
      <c r="F119" s="44" t="s">
        <v>1331</v>
      </c>
      <c r="G119" s="44" t="s">
        <v>904</v>
      </c>
      <c r="H119" s="8"/>
    </row>
    <row r="120" spans="1:8" ht="16" customHeight="1" x14ac:dyDescent="0.25">
      <c r="A120" s="42">
        <v>116</v>
      </c>
      <c r="B120" s="8" t="str">
        <f>HYPERLINK("https://www.spirehealthcare.com/spire-tunbridge-wells-hospital/treatments/skin-treatments/","Dermatology Service, Spire Tunbridge Wells Hospital")</f>
        <v>Dermatology Service, Spire Tunbridge Wells Hospital</v>
      </c>
      <c r="C120" s="43" t="s">
        <v>31</v>
      </c>
      <c r="D120" s="43" t="s">
        <v>32</v>
      </c>
      <c r="E120" s="8" t="s">
        <v>1141</v>
      </c>
      <c r="F120" s="44" t="s">
        <v>1331</v>
      </c>
      <c r="G120" s="44" t="s">
        <v>906</v>
      </c>
      <c r="H120" s="8"/>
    </row>
    <row r="121" spans="1:8" ht="16" customHeight="1" x14ac:dyDescent="0.25">
      <c r="A121" s="42">
        <v>117</v>
      </c>
      <c r="B121" s="8" t="str">
        <f>HYPERLINK("https://www.spirehealthcare.com/spire-washington-hospital/treatments/skin-treatments/meet-the-team-dermatologists/","Dermatology Service, Spire Washington Hospital")</f>
        <v>Dermatology Service, Spire Washington Hospital</v>
      </c>
      <c r="C121" s="43" t="s">
        <v>31</v>
      </c>
      <c r="D121" s="43" t="s">
        <v>32</v>
      </c>
      <c r="E121" s="8" t="s">
        <v>1142</v>
      </c>
      <c r="F121" s="44" t="s">
        <v>1331</v>
      </c>
      <c r="G121" s="44" t="s">
        <v>904</v>
      </c>
      <c r="H121" s="8"/>
    </row>
    <row r="122" spans="1:8" ht="16" customHeight="1" x14ac:dyDescent="0.25">
      <c r="A122" s="42">
        <v>118</v>
      </c>
      <c r="B122" s="8" t="str">
        <f>HYPERLINK("https://www.spirehealthcare.com/spire-wellesley-hospital/treatments/skin-treatments/","Dermatology Service, Spire Wellesley Hospital")</f>
        <v>Dermatology Service, Spire Wellesley Hospital</v>
      </c>
      <c r="C122" s="43" t="s">
        <v>31</v>
      </c>
      <c r="D122" s="43" t="s">
        <v>32</v>
      </c>
      <c r="E122" s="8" t="s">
        <v>1143</v>
      </c>
      <c r="F122" s="44" t="s">
        <v>1331</v>
      </c>
      <c r="G122" s="44" t="s">
        <v>906</v>
      </c>
      <c r="H122" s="8"/>
    </row>
    <row r="123" spans="1:8" ht="16" customHeight="1" x14ac:dyDescent="0.25">
      <c r="A123" s="42">
        <v>119</v>
      </c>
      <c r="B123" s="8" t="str">
        <f>HYPERLINK("https://www.ramsayhealth.co.uk/hospitals/springfield-hospital/specialists?freeText=dermatology&amp;term=","Dermatology Service, Springfield Hospital")</f>
        <v>Dermatology Service, Springfield Hospital</v>
      </c>
      <c r="C123" s="43" t="s">
        <v>31</v>
      </c>
      <c r="D123" s="43" t="s">
        <v>32</v>
      </c>
      <c r="E123" s="8" t="s">
        <v>1144</v>
      </c>
      <c r="F123" s="44" t="s">
        <v>1331</v>
      </c>
      <c r="G123" s="44" t="s">
        <v>904</v>
      </c>
      <c r="H123" s="8"/>
    </row>
    <row r="124" spans="1:8" ht="16" customHeight="1" x14ac:dyDescent="0.25">
      <c r="A124" s="42">
        <v>120</v>
      </c>
      <c r="B124" s="8" t="str">
        <f>HYPERLINK("https://www.circlehealthgroup.co.uk/specialities/dermatology?hospitalId=622e25f7-b996-4a2c-b056-d6b3ab9a34cf","Dermatology Service, St Edmunds Hospital")</f>
        <v>Dermatology Service, St Edmunds Hospital</v>
      </c>
      <c r="C124" s="43" t="s">
        <v>31</v>
      </c>
      <c r="D124" s="43" t="s">
        <v>32</v>
      </c>
      <c r="E124" s="8" t="s">
        <v>1145</v>
      </c>
      <c r="F124" s="44" t="s">
        <v>1331</v>
      </c>
      <c r="G124" s="44" t="s">
        <v>906</v>
      </c>
      <c r="H124" s="8"/>
    </row>
    <row r="125" spans="1:8" ht="16" customHeight="1" x14ac:dyDescent="0.25">
      <c r="A125" s="42">
        <v>121</v>
      </c>
      <c r="B125" s="8" t="str">
        <f>HYPERLINK("https://www.circlehealthgroup.co.uk/hospitals/syon-clinic/dermatology","Dermatology Service, Syon Clinic")</f>
        <v>Dermatology Service, Syon Clinic</v>
      </c>
      <c r="C125" s="43" t="s">
        <v>31</v>
      </c>
      <c r="D125" s="43" t="s">
        <v>32</v>
      </c>
      <c r="E125" s="8" t="s">
        <v>1146</v>
      </c>
      <c r="F125" s="44" t="s">
        <v>1331</v>
      </c>
      <c r="G125" s="44" t="s">
        <v>906</v>
      </c>
      <c r="H125" s="8"/>
    </row>
    <row r="126" spans="1:8" ht="16" customHeight="1" x14ac:dyDescent="0.25">
      <c r="A126" s="42">
        <v>122</v>
      </c>
      <c r="B126" s="8" t="str">
        <f>HYPERLINK("https://www.nuffieldhealth.com/hospitals/taunton/treatments?category=dermatology#filters","Dermatology Service, Taunton Hospital")</f>
        <v>Dermatology Service, Taunton Hospital</v>
      </c>
      <c r="C126" s="43" t="s">
        <v>31</v>
      </c>
      <c r="D126" s="43" t="s">
        <v>32</v>
      </c>
      <c r="E126" s="8" t="s">
        <v>1147</v>
      </c>
      <c r="F126" s="44" t="s">
        <v>1331</v>
      </c>
      <c r="G126" s="44" t="s">
        <v>906</v>
      </c>
      <c r="H126" s="8"/>
    </row>
    <row r="127" spans="1:8" ht="16" customHeight="1" x14ac:dyDescent="0.25">
      <c r="A127" s="42">
        <v>123</v>
      </c>
      <c r="B127" s="8" t="str">
        <f>HYPERLINK("https://www.nuffieldhealth.com/hospitals/tees/treatments?category=dermatology#filters","Dermatology Service, Tees Hospital")</f>
        <v>Dermatology Service, Tees Hospital</v>
      </c>
      <c r="C127" s="43" t="s">
        <v>31</v>
      </c>
      <c r="D127" s="43" t="s">
        <v>32</v>
      </c>
      <c r="E127" s="8" t="s">
        <v>1148</v>
      </c>
      <c r="F127" s="44" t="s">
        <v>1331</v>
      </c>
      <c r="G127" s="44" t="s">
        <v>906</v>
      </c>
      <c r="H127" s="8"/>
    </row>
    <row r="128" spans="1:8" ht="16" customHeight="1" x14ac:dyDescent="0.25">
      <c r="A128" s="42">
        <v>124</v>
      </c>
      <c r="B128" s="8" t="str">
        <f>HYPERLINK("https://www.teesvalleyhospital.co.uk/treatments/dermatology","Dermatology Service, Tees Valley Hospital")</f>
        <v>Dermatology Service, Tees Valley Hospital</v>
      </c>
      <c r="C128" s="43" t="s">
        <v>31</v>
      </c>
      <c r="D128" s="43" t="s">
        <v>32</v>
      </c>
      <c r="E128" s="8" t="s">
        <v>1149</v>
      </c>
      <c r="F128" s="44" t="s">
        <v>1331</v>
      </c>
      <c r="G128" s="44" t="s">
        <v>904</v>
      </c>
      <c r="H128" s="8"/>
    </row>
    <row r="129" spans="1:8" ht="16" customHeight="1" x14ac:dyDescent="0.25">
      <c r="A129" s="42">
        <v>125</v>
      </c>
      <c r="B129" s="8" t="str">
        <f>HYPERLINK("https://www.circlehealthgroup.co.uk/consultants?nationalSpecialityId=498c24bd-cd97-48d8-8324-643bb8b8296c&amp;hospitalId=deb71670-8355-4052-81ae-74a0bee62af0","Dermatology Service, The Alexandra Hospital")</f>
        <v>Dermatology Service, The Alexandra Hospital</v>
      </c>
      <c r="C129" s="43" t="s">
        <v>31</v>
      </c>
      <c r="D129" s="43" t="s">
        <v>32</v>
      </c>
      <c r="E129" s="8" t="s">
        <v>1150</v>
      </c>
      <c r="F129" s="44" t="s">
        <v>1331</v>
      </c>
      <c r="G129" s="44" t="s">
        <v>906</v>
      </c>
      <c r="H129" s="8"/>
    </row>
    <row r="130" spans="1:8" ht="16" customHeight="1" x14ac:dyDescent="0.25">
      <c r="A130" s="42">
        <v>126</v>
      </c>
      <c r="B130" s="8" t="str">
        <f>HYPERLINK("https://www.circlehealthgroup.co.uk/hospitals/the-beardwood-hospital/dermatology","Dermatology Service, The Beardwood Hospital")</f>
        <v>Dermatology Service, The Beardwood Hospital</v>
      </c>
      <c r="C130" s="43" t="s">
        <v>31</v>
      </c>
      <c r="D130" s="43" t="s">
        <v>32</v>
      </c>
      <c r="E130" s="8" t="s">
        <v>1151</v>
      </c>
      <c r="F130" s="44" t="s">
        <v>1331</v>
      </c>
      <c r="G130" s="44" t="s">
        <v>906</v>
      </c>
      <c r="H130" s="8"/>
    </row>
    <row r="131" spans="1:8" ht="16" customHeight="1" x14ac:dyDescent="0.25">
      <c r="A131" s="42">
        <v>127</v>
      </c>
      <c r="B131" s="8" t="str">
        <f>HYPERLINK("https://www.berkshireindependenthospital.co.uk/treatments/dermatology","Dermatology Service, The Berkshire Independent Hospital")</f>
        <v>Dermatology Service, The Berkshire Independent Hospital</v>
      </c>
      <c r="C131" s="43" t="s">
        <v>31</v>
      </c>
      <c r="D131" s="43" t="s">
        <v>32</v>
      </c>
      <c r="E131" s="8" t="s">
        <v>1152</v>
      </c>
      <c r="F131" s="44" t="s">
        <v>1331</v>
      </c>
      <c r="G131" s="44" t="s">
        <v>904</v>
      </c>
      <c r="H131" s="8"/>
    </row>
    <row r="132" spans="1:8" ht="16" customHeight="1" x14ac:dyDescent="0.25">
      <c r="A132" s="42">
        <v>128</v>
      </c>
      <c r="B132" s="8" t="str">
        <f>HYPERLINK("https://www.circlehealthgroup.co.uk/hospitals/the-blackheath-hospital/private-dermatology-greenwich","Dermatology Service, The Blackheath Hospital")</f>
        <v>Dermatology Service, The Blackheath Hospital</v>
      </c>
      <c r="C132" s="43" t="s">
        <v>31</v>
      </c>
      <c r="D132" s="43" t="s">
        <v>32</v>
      </c>
      <c r="E132" s="8" t="s">
        <v>1153</v>
      </c>
      <c r="F132" s="44" t="s">
        <v>1331</v>
      </c>
      <c r="G132" s="44" t="s">
        <v>906</v>
      </c>
      <c r="H132" s="8"/>
    </row>
    <row r="133" spans="1:8" ht="16" customHeight="1" x14ac:dyDescent="0.25">
      <c r="A133" s="42">
        <v>129</v>
      </c>
      <c r="B133" s="8" t="str">
        <f>HYPERLINK("https://www.circlehealthgroup.co.uk/specialities/dermatology?hospitalId=d6e3345c-ca03-4ef6-925f-c941f13c3971","Dermatology Service, The Cavell Hospital")</f>
        <v>Dermatology Service, The Cavell Hospital</v>
      </c>
      <c r="C133" s="43" t="s">
        <v>31</v>
      </c>
      <c r="D133" s="43" t="s">
        <v>32</v>
      </c>
      <c r="E133" s="8" t="s">
        <v>1154</v>
      </c>
      <c r="F133" s="44" t="s">
        <v>1331</v>
      </c>
      <c r="G133" s="44" t="s">
        <v>906</v>
      </c>
      <c r="H133" s="8"/>
    </row>
    <row r="134" spans="1:8" ht="16" customHeight="1" x14ac:dyDescent="0.25">
      <c r="A134" s="42">
        <v>130</v>
      </c>
      <c r="B134" s="8" t="str">
        <f>HYPERLINK("https://www.circlehealthgroup.co.uk/hospitals/the-chaucer-hospital/private-dermatology-canterbury","Dermatology Service, The Chaucer Hospital")</f>
        <v>Dermatology Service, The Chaucer Hospital</v>
      </c>
      <c r="C134" s="43" t="s">
        <v>31</v>
      </c>
      <c r="D134" s="43" t="s">
        <v>32</v>
      </c>
      <c r="E134" s="8" t="s">
        <v>1155</v>
      </c>
      <c r="F134" s="44" t="s">
        <v>1331</v>
      </c>
      <c r="G134" s="44" t="s">
        <v>906</v>
      </c>
      <c r="H134" s="8"/>
    </row>
    <row r="135" spans="1:8" ht="16" customHeight="1" x14ac:dyDescent="0.25">
      <c r="A135" s="42">
        <v>131</v>
      </c>
      <c r="B135" s="8" t="str">
        <f>HYPERLINK("https://www.thecherwellhospital.co.uk/treatments/dermatology","Dermatology Service, The Cherwell Hospital")</f>
        <v>Dermatology Service, The Cherwell Hospital</v>
      </c>
      <c r="C135" s="43" t="s">
        <v>31</v>
      </c>
      <c r="D135" s="43" t="s">
        <v>32</v>
      </c>
      <c r="E135" s="8" t="s">
        <v>1156</v>
      </c>
      <c r="F135" s="44" t="s">
        <v>1331</v>
      </c>
      <c r="G135" s="44" t="s">
        <v>904</v>
      </c>
      <c r="H135" s="8"/>
    </row>
    <row r="136" spans="1:8" ht="16" customHeight="1" x14ac:dyDescent="0.25">
      <c r="A136" s="42">
        <v>132</v>
      </c>
      <c r="B136" s="8" t="str">
        <f>HYPERLINK("https://www.circlehealthgroup.co.uk/consultants?nationalSpecialityId=498c24bd-cd97-48d8-8324-643bb8b8296c&amp;hospitalId=6e36fd62-2da2-4ecd-8ed7-ab10c85a71c4","Dermatology Service, The Chiltern Hospital")</f>
        <v>Dermatology Service, The Chiltern Hospital</v>
      </c>
      <c r="C136" s="43" t="s">
        <v>31</v>
      </c>
      <c r="D136" s="43" t="s">
        <v>32</v>
      </c>
      <c r="E136" s="8" t="s">
        <v>1157</v>
      </c>
      <c r="F136" s="44" t="s">
        <v>1331</v>
      </c>
      <c r="G136" s="44" t="s">
        <v>906</v>
      </c>
      <c r="H136" s="8"/>
    </row>
    <row r="137" spans="1:8" ht="16" customHeight="1" x14ac:dyDescent="0.25">
      <c r="A137" s="42">
        <v>133</v>
      </c>
      <c r="B137" s="8" t="str">
        <f>HYPERLINK("https://www.hcahealthcare.co.uk/facilities/the-christie-private-care","Dermatology Service, The Christie Private Care")</f>
        <v>Dermatology Service, The Christie Private Care</v>
      </c>
      <c r="C137" s="43" t="s">
        <v>31</v>
      </c>
      <c r="D137" s="43" t="s">
        <v>32</v>
      </c>
      <c r="E137" s="8" t="s">
        <v>1158</v>
      </c>
      <c r="F137" s="44" t="s">
        <v>1331</v>
      </c>
      <c r="G137" s="44" t="s">
        <v>906</v>
      </c>
      <c r="H137" s="8"/>
    </row>
    <row r="138" spans="1:8" ht="16" customHeight="1" x14ac:dyDescent="0.25">
      <c r="A138" s="42">
        <v>134</v>
      </c>
      <c r="B138" s="8" t="str">
        <f>HYPERLINK("https://www.circlehealthgroup.co.uk/consultants?nationalSpecialityId=498c24bd-cd97-48d8-8324-643bb8b8296c&amp;hospitalId=74c11d79-dc0b-4cda-900e-3ebeb7206905","Dermatology Service, The Clementine Churchill Hospital")</f>
        <v>Dermatology Service, The Clementine Churchill Hospital</v>
      </c>
      <c r="C138" s="43" t="s">
        <v>31</v>
      </c>
      <c r="D138" s="43" t="s">
        <v>32</v>
      </c>
      <c r="E138" s="8" t="s">
        <v>1159</v>
      </c>
      <c r="F138" s="44" t="s">
        <v>1331</v>
      </c>
      <c r="G138" s="44" t="s">
        <v>906</v>
      </c>
      <c r="H138" s="8"/>
    </row>
    <row r="139" spans="1:8" ht="16" customHeight="1" x14ac:dyDescent="0.25">
      <c r="A139" s="42">
        <v>135</v>
      </c>
      <c r="B139" s="8" t="str">
        <f>HYPERLINK("https://www.circlehealthgroup.co.uk/hospitals/the-droitwich-spa-hospital/private-dermatology-droitwich","Dermatology Service, The Droitwich Spa Hospital")</f>
        <v>Dermatology Service, The Droitwich Spa Hospital</v>
      </c>
      <c r="C139" s="43" t="s">
        <v>31</v>
      </c>
      <c r="D139" s="43" t="s">
        <v>32</v>
      </c>
      <c r="E139" s="8" t="s">
        <v>1160</v>
      </c>
      <c r="F139" s="44" t="s">
        <v>1331</v>
      </c>
      <c r="G139" s="44" t="s">
        <v>906</v>
      </c>
      <c r="H139" s="8"/>
    </row>
    <row r="140" spans="1:8" ht="16" customHeight="1" x14ac:dyDescent="0.25">
      <c r="A140" s="42">
        <v>136</v>
      </c>
      <c r="B140" s="8" t="str">
        <f>HYPERLINK("https://www.circlehealthgroup.co.uk/consultants?distance=15&amp;hospital=The%20Duchy%20Hospital&amp;hospitalId=709f6b25-e3e1-480c-84a7-4ed44f6573b8&amp;treatment=Dermatology&amp;treatmentId=498c24bd-cd97-48d8-8324-643bb8b8296c&amp;sort=score|Descending&amp;page=1&amp;perPage=18","Dermatology Service, The Duchy Hospital")</f>
        <v>Dermatology Service, The Duchy Hospital</v>
      </c>
      <c r="C140" s="43" t="s">
        <v>31</v>
      </c>
      <c r="D140" s="43" t="s">
        <v>32</v>
      </c>
      <c r="E140" s="8" t="s">
        <v>1161</v>
      </c>
      <c r="F140" s="44" t="s">
        <v>1331</v>
      </c>
      <c r="G140" s="44" t="s">
        <v>906</v>
      </c>
      <c r="H140" s="8"/>
    </row>
    <row r="141" spans="1:8" ht="16" customHeight="1" x14ac:dyDescent="0.25">
      <c r="A141" s="42">
        <v>137</v>
      </c>
      <c r="B141" s="8" t="str">
        <f>HYPERLINK("https://www.circlehealthgroup.co.uk/consultants/janet-elizabeth-holder","Dermatology Service, The Hampshire Clinic")</f>
        <v>Dermatology Service, The Hampshire Clinic</v>
      </c>
      <c r="C141" s="43" t="s">
        <v>31</v>
      </c>
      <c r="D141" s="43" t="s">
        <v>32</v>
      </c>
      <c r="E141" s="8" t="s">
        <v>1162</v>
      </c>
      <c r="F141" s="44" t="s">
        <v>1331</v>
      </c>
      <c r="G141" s="44" t="s">
        <v>906</v>
      </c>
      <c r="H141" s="8"/>
    </row>
    <row r="142" spans="1:8" ht="16" customHeight="1" x14ac:dyDescent="0.25">
      <c r="A142" s="42">
        <v>138</v>
      </c>
      <c r="B142" s="8" t="str">
        <f>HYPERLINK("https://www.circlehealthgroup.co.uk/hospitals/the-harbour-hospital/private-dermatology-poole","Dermatology Service, The Harbour Hospital")</f>
        <v>Dermatology Service, The Harbour Hospital</v>
      </c>
      <c r="C142" s="43" t="s">
        <v>31</v>
      </c>
      <c r="D142" s="43" t="s">
        <v>32</v>
      </c>
      <c r="E142" s="8" t="s">
        <v>1163</v>
      </c>
      <c r="F142" s="44" t="s">
        <v>1331</v>
      </c>
      <c r="G142" s="44" t="s">
        <v>906</v>
      </c>
      <c r="H142" s="8"/>
    </row>
    <row r="143" spans="1:8" ht="16" customHeight="1" x14ac:dyDescent="0.25">
      <c r="A143" s="42">
        <v>139</v>
      </c>
      <c r="B143" s="8" t="str">
        <f>HYPERLINK("https://www.hcahealthcare.co.uk/facilities/the-harley-street-clinic","Dermatology Service, The Harley Street Clinic")</f>
        <v>Dermatology Service, The Harley Street Clinic</v>
      </c>
      <c r="C143" s="43" t="s">
        <v>31</v>
      </c>
      <c r="D143" s="43" t="s">
        <v>32</v>
      </c>
      <c r="E143" s="8" t="s">
        <v>1164</v>
      </c>
      <c r="F143" s="44" t="s">
        <v>1331</v>
      </c>
      <c r="G143" s="44" t="s">
        <v>906</v>
      </c>
      <c r="H143" s="8"/>
    </row>
    <row r="144" spans="1:8" ht="16" customHeight="1" x14ac:dyDescent="0.25">
      <c r="A144" s="42">
        <v>140</v>
      </c>
      <c r="B144" s="8" t="str">
        <f>HYPERLINK("https://www.circlehealthgroup.co.uk/hospitals/the-highfield-hospital/private-dermatology-rochdale","Dermatology Service, The Highfield Hospital")</f>
        <v>Dermatology Service, The Highfield Hospital</v>
      </c>
      <c r="C144" s="43" t="s">
        <v>31</v>
      </c>
      <c r="D144" s="43" t="s">
        <v>32</v>
      </c>
      <c r="E144" s="8" t="s">
        <v>1165</v>
      </c>
      <c r="F144" s="44" t="s">
        <v>1331</v>
      </c>
      <c r="G144" s="44" t="s">
        <v>906</v>
      </c>
      <c r="H144" s="8"/>
    </row>
    <row r="145" spans="1:8" ht="16" customHeight="1" x14ac:dyDescent="0.25">
      <c r="A145" s="42">
        <v>141</v>
      </c>
      <c r="B145" s="8" t="str">
        <f>HYPERLINK("https://www.theholly.com/services/general-medicine/dermatology/","Dermatology Service, The Holly Private Hospital")</f>
        <v>Dermatology Service, The Holly Private Hospital</v>
      </c>
      <c r="C145" s="43" t="s">
        <v>31</v>
      </c>
      <c r="D145" s="43" t="s">
        <v>32</v>
      </c>
      <c r="E145" s="8" t="s">
        <v>1166</v>
      </c>
      <c r="F145" s="44" t="s">
        <v>1331</v>
      </c>
      <c r="G145" s="44" t="s">
        <v>906</v>
      </c>
      <c r="H145" s="8"/>
    </row>
    <row r="146" spans="1:8" ht="16" customHeight="1" x14ac:dyDescent="0.25">
      <c r="A146" s="42">
        <v>142</v>
      </c>
      <c r="B146" s="8" t="str">
        <f>HYPERLINK("https://www.circlehealthgroup.co.uk/hospitals/the-huddersfield-hospital/dermatology","Dermatology Service, The Huddersfield Hospital")</f>
        <v>Dermatology Service, The Huddersfield Hospital</v>
      </c>
      <c r="C146" s="43" t="s">
        <v>31</v>
      </c>
      <c r="D146" s="43" t="s">
        <v>32</v>
      </c>
      <c r="E146" s="8" t="s">
        <v>1167</v>
      </c>
      <c r="F146" s="44" t="s">
        <v>1331</v>
      </c>
      <c r="G146" s="44" t="s">
        <v>906</v>
      </c>
      <c r="H146" s="8"/>
    </row>
    <row r="147" spans="1:8" ht="16" customHeight="1" x14ac:dyDescent="0.25">
      <c r="A147" s="42">
        <v>143</v>
      </c>
      <c r="B147" s="8" t="str">
        <f>HYPERLINK("https://www.circlehealthgroup.co.uk/consultants?hospitalId=fd3ac1ab-2ba2-42c5-b8c7-06ebaadbaccf&amp;page=1&amp;perPage=18","Dermatology Service, The Lancaster Hospital")</f>
        <v>Dermatology Service, The Lancaster Hospital</v>
      </c>
      <c r="C147" s="43" t="s">
        <v>31</v>
      </c>
      <c r="D147" s="43" t="s">
        <v>32</v>
      </c>
      <c r="E147" s="8" t="s">
        <v>1168</v>
      </c>
      <c r="F147" s="44" t="s">
        <v>1331</v>
      </c>
      <c r="G147" s="44" t="s">
        <v>906</v>
      </c>
      <c r="H147" s="8"/>
    </row>
    <row r="148" spans="1:8" ht="16" customHeight="1" x14ac:dyDescent="0.25">
      <c r="A148" s="42">
        <v>144</v>
      </c>
      <c r="B148" s="8" t="str">
        <f>HYPERLINK("https://www.circlehealthgroup.co.uk/hospitals/the-lincoln-hospital/dermatology","Dermatology Service, The Lincoln Hospital")</f>
        <v>Dermatology Service, The Lincoln Hospital</v>
      </c>
      <c r="C148" s="43" t="s">
        <v>31</v>
      </c>
      <c r="D148" s="43" t="s">
        <v>32</v>
      </c>
      <c r="E148" s="8" t="s">
        <v>1169</v>
      </c>
      <c r="F148" s="44" t="s">
        <v>1331</v>
      </c>
      <c r="G148" s="44" t="s">
        <v>906</v>
      </c>
      <c r="H148" s="8"/>
    </row>
    <row r="149" spans="1:8" ht="16" customHeight="1" x14ac:dyDescent="0.25">
      <c r="A149" s="42">
        <v>145</v>
      </c>
      <c r="B149" s="8" t="str">
        <f>HYPERLINK("https://www.hcahealthcare.co.uk/facilities/the-lister-hospital","Dermatology Service, The Lister Hospital")</f>
        <v>Dermatology Service, The Lister Hospital</v>
      </c>
      <c r="C149" s="43" t="s">
        <v>31</v>
      </c>
      <c r="D149" s="43" t="s">
        <v>32</v>
      </c>
      <c r="E149" s="8" t="s">
        <v>1170</v>
      </c>
      <c r="F149" s="44" t="s">
        <v>1331</v>
      </c>
      <c r="G149" s="44" t="s">
        <v>906</v>
      </c>
      <c r="H149" s="8"/>
    </row>
    <row r="150" spans="1:8" ht="16" customHeight="1" x14ac:dyDescent="0.25">
      <c r="A150" s="42">
        <v>146</v>
      </c>
      <c r="B150" s="8" t="str">
        <f>HYPERLINK("https://www.circlehealthgroup.co.uk/hospitals/the-london-independent-hospital/private-dermatology-clinic-east-london","Dermatology Service, The London Independent Hospital")</f>
        <v>Dermatology Service, The London Independent Hospital</v>
      </c>
      <c r="C150" s="43" t="s">
        <v>31</v>
      </c>
      <c r="D150" s="43" t="s">
        <v>32</v>
      </c>
      <c r="E150" s="8" t="s">
        <v>1171</v>
      </c>
      <c r="F150" s="44" t="s">
        <v>1331</v>
      </c>
      <c r="G150" s="44" t="s">
        <v>906</v>
      </c>
      <c r="H150" s="8"/>
    </row>
    <row r="151" spans="1:8" ht="16" customHeight="1" x14ac:dyDescent="0.25">
      <c r="A151" s="42">
        <v>147</v>
      </c>
      <c r="B151" s="8" t="str">
        <f>HYPERLINK("https://www.circlehealthgroup.co.uk/hospitals/the-manor-hospital/private-dermatology-bedford","Dermatology Service, The Manor Hospital")</f>
        <v>Dermatology Service, The Manor Hospital</v>
      </c>
      <c r="C151" s="43" t="s">
        <v>31</v>
      </c>
      <c r="D151" s="43" t="s">
        <v>32</v>
      </c>
      <c r="E151" s="8" t="s">
        <v>1172</v>
      </c>
      <c r="F151" s="44" t="s">
        <v>1331</v>
      </c>
      <c r="G151" s="44" t="s">
        <v>906</v>
      </c>
      <c r="H151" s="8"/>
    </row>
    <row r="152" spans="1:8" ht="16" customHeight="1" x14ac:dyDescent="0.25">
      <c r="A152" s="42">
        <v>148</v>
      </c>
      <c r="B152" s="8" t="str">
        <f>HYPERLINK("https://www.themedicalchambers.com/specialties/dermatology","Dermatology Service, The Medical Chambers Kensington")</f>
        <v>Dermatology Service, The Medical Chambers Kensington</v>
      </c>
      <c r="C152" s="43" t="s">
        <v>31</v>
      </c>
      <c r="D152" s="43" t="s">
        <v>32</v>
      </c>
      <c r="E152" s="8" t="s">
        <v>1173</v>
      </c>
      <c r="F152" s="44" t="s">
        <v>1331</v>
      </c>
      <c r="G152" s="44" t="s">
        <v>906</v>
      </c>
      <c r="H152" s="8"/>
    </row>
    <row r="153" spans="1:8" ht="16" customHeight="1" x14ac:dyDescent="0.25">
      <c r="A153" s="42">
        <v>149</v>
      </c>
      <c r="B153" s="8" t="str">
        <f>HYPERLINK("https://www.circlehealthgroup.co.uk/hospitals/the-meriden-hospital/private-dermatology-coventry","Dermatology Service, The Meriden Hospital")</f>
        <v>Dermatology Service, The Meriden Hospital</v>
      </c>
      <c r="C153" s="43" t="s">
        <v>31</v>
      </c>
      <c r="D153" s="43" t="s">
        <v>32</v>
      </c>
      <c r="E153" s="8" t="s">
        <v>1174</v>
      </c>
      <c r="F153" s="44" t="s">
        <v>1331</v>
      </c>
      <c r="G153" s="44" t="s">
        <v>906</v>
      </c>
      <c r="H153" s="8"/>
    </row>
    <row r="154" spans="1:8" ht="16" customHeight="1" x14ac:dyDescent="0.25">
      <c r="A154" s="42">
        <v>150</v>
      </c>
      <c r="B154" s="8" t="str">
        <f>HYPERLINK("https://themontefiorehospital.co.uk/our-consultants/dermatology","Dermatology Service, The Montefiore Hospital")</f>
        <v>Dermatology Service, The Montefiore Hospital</v>
      </c>
      <c r="C154" s="43" t="s">
        <v>31</v>
      </c>
      <c r="D154" s="43" t="s">
        <v>32</v>
      </c>
      <c r="E154" s="8" t="s">
        <v>1175</v>
      </c>
      <c r="F154" s="44" t="s">
        <v>1331</v>
      </c>
      <c r="G154" s="44" t="s">
        <v>906</v>
      </c>
      <c r="H154" s="8"/>
    </row>
    <row r="155" spans="1:8" ht="16" customHeight="1" x14ac:dyDescent="0.25">
      <c r="A155" s="42">
        <v>151</v>
      </c>
      <c r="B155" s="8" t="str">
        <f>HYPERLINK("https://www.circlehealthgroup.co.uk/hospitals/the-park-hospital/private-dermatology-nottingham","Dermatology Service, The Park Hospital")</f>
        <v>Dermatology Service, The Park Hospital</v>
      </c>
      <c r="C155" s="43" t="s">
        <v>31</v>
      </c>
      <c r="D155" s="43" t="s">
        <v>32</v>
      </c>
      <c r="E155" s="8" t="s">
        <v>1176</v>
      </c>
      <c r="F155" s="44" t="s">
        <v>1331</v>
      </c>
      <c r="G155" s="44" t="s">
        <v>906</v>
      </c>
      <c r="H155" s="8"/>
    </row>
    <row r="156" spans="1:8" ht="16" customHeight="1" x14ac:dyDescent="0.25">
      <c r="A156" s="42">
        <v>152</v>
      </c>
      <c r="B156" s="8" t="str">
        <f>HYPERLINK("https://www.hcahealthcare.co.uk/facilities/the-portland-hospital","Dermatology Service, The Portland Hospital")</f>
        <v>Dermatology Service, The Portland Hospital</v>
      </c>
      <c r="C156" s="43" t="s">
        <v>31</v>
      </c>
      <c r="D156" s="43" t="s">
        <v>32</v>
      </c>
      <c r="E156" s="8" t="s">
        <v>1177</v>
      </c>
      <c r="F156" s="44" t="s">
        <v>1331</v>
      </c>
      <c r="G156" s="44" t="s">
        <v>906</v>
      </c>
      <c r="H156" s="8"/>
    </row>
    <row r="157" spans="1:8" ht="16" customHeight="1" x14ac:dyDescent="0.25">
      <c r="A157" s="42">
        <v>153</v>
      </c>
      <c r="B157" s="8" t="str">
        <f>HYPERLINK("https://www.hcahealthcare.co.uk/facilities/the-princess-grace-hospital","Dermatology Service, The Princess Grace Hospital")</f>
        <v>Dermatology Service, The Princess Grace Hospital</v>
      </c>
      <c r="C157" s="43" t="s">
        <v>31</v>
      </c>
      <c r="D157" s="43" t="s">
        <v>32</v>
      </c>
      <c r="E157" s="8" t="s">
        <v>1178</v>
      </c>
      <c r="F157" s="44" t="s">
        <v>1331</v>
      </c>
      <c r="G157" s="44" t="s">
        <v>906</v>
      </c>
      <c r="H157" s="8"/>
    </row>
    <row r="158" spans="1:8" ht="16" customHeight="1" x14ac:dyDescent="0.25">
      <c r="A158" s="42">
        <v>154</v>
      </c>
      <c r="B158" s="8" t="str">
        <f>HYPERLINK("https://www.circlehealthgroup.co.uk/hospitals/the-princess-margaret-hospital/private-skin-care-and-dermatology-windsor","Dermatology Service, The Princess Margaret Hospital")</f>
        <v>Dermatology Service, The Princess Margaret Hospital</v>
      </c>
      <c r="C158" s="43" t="s">
        <v>31</v>
      </c>
      <c r="D158" s="43" t="s">
        <v>32</v>
      </c>
      <c r="E158" s="8" t="s">
        <v>1179</v>
      </c>
      <c r="F158" s="44" t="s">
        <v>1331</v>
      </c>
      <c r="G158" s="44" t="s">
        <v>906</v>
      </c>
      <c r="H158" s="8"/>
    </row>
    <row r="159" spans="1:8" ht="16" customHeight="1" x14ac:dyDescent="0.25">
      <c r="A159" s="42">
        <v>155</v>
      </c>
      <c r="B159" s="8" t="str">
        <f>HYPERLINK("https://www.circlehealthgroup.co.uk/specialities/dermatology?hospitalId=d99a3c2c-9ffd-4221-95ae-8f5c2d1e0d0b","Dermatology Service, The Priory Hospital")</f>
        <v>Dermatology Service, The Priory Hospital</v>
      </c>
      <c r="C159" s="43" t="s">
        <v>31</v>
      </c>
      <c r="D159" s="43" t="s">
        <v>32</v>
      </c>
      <c r="E159" s="8" t="s">
        <v>1180</v>
      </c>
      <c r="F159" s="44" t="s">
        <v>1331</v>
      </c>
      <c r="G159" s="44" t="s">
        <v>906</v>
      </c>
      <c r="H159" s="8"/>
    </row>
    <row r="160" spans="1:8" ht="16" customHeight="1" x14ac:dyDescent="0.25">
      <c r="A160" s="42">
        <v>156</v>
      </c>
      <c r="B160" s="8" t="str">
        <f>HYPERLINK("https://www.theprivateclinic.co.uk/treatments/dermatology-and-conditions/","Dermatology Service, The Private Clinic of Harley Street")</f>
        <v>Dermatology Service, The Private Clinic of Harley Street</v>
      </c>
      <c r="C160" s="43" t="s">
        <v>31</v>
      </c>
      <c r="D160" s="43" t="s">
        <v>32</v>
      </c>
      <c r="E160" s="8" t="s">
        <v>1181</v>
      </c>
      <c r="F160" s="44" t="s">
        <v>1331</v>
      </c>
      <c r="G160" s="44" t="s">
        <v>906</v>
      </c>
      <c r="H160" s="8"/>
    </row>
    <row r="161" spans="1:8" ht="16" customHeight="1" x14ac:dyDescent="0.25">
      <c r="A161" s="42">
        <v>157</v>
      </c>
      <c r="B161" s="8" t="str">
        <f>HYPERLINK("https://www.circlehealthgroup.co.uk/hospitals/the-ridgeway-hospital","Dermatology Service, The Ridgeway Hospital")</f>
        <v>Dermatology Service, The Ridgeway Hospital</v>
      </c>
      <c r="C161" s="43" t="s">
        <v>31</v>
      </c>
      <c r="D161" s="43" t="s">
        <v>32</v>
      </c>
      <c r="E161" s="8" t="s">
        <v>1182</v>
      </c>
      <c r="F161" s="44" t="s">
        <v>1331</v>
      </c>
      <c r="G161" s="44" t="s">
        <v>906</v>
      </c>
      <c r="H161" s="8"/>
    </row>
    <row r="162" spans="1:8" ht="16" customHeight="1" x14ac:dyDescent="0.25">
      <c r="A162" s="42">
        <v>158</v>
      </c>
      <c r="B162" s="8" t="str">
        <f>HYPERLINK("https://www.circlehealthgroup.co.uk/hospitals/the-runnymede-hospital/dermatology","Dermatology Service, The Runnymede Hospital")</f>
        <v>Dermatology Service, The Runnymede Hospital</v>
      </c>
      <c r="C162" s="43" t="s">
        <v>31</v>
      </c>
      <c r="D162" s="43" t="s">
        <v>32</v>
      </c>
      <c r="E162" s="8" t="s">
        <v>1183</v>
      </c>
      <c r="F162" s="44" t="s">
        <v>1331</v>
      </c>
      <c r="G162" s="44" t="s">
        <v>906</v>
      </c>
      <c r="H162" s="8"/>
    </row>
    <row r="163" spans="1:8" ht="16" customHeight="1" x14ac:dyDescent="0.25">
      <c r="A163" s="42">
        <v>159</v>
      </c>
      <c r="B163" s="8" t="str">
        <f>HYPERLINK("https://www.circlehealthgroup.co.uk/hospitals/the-saxon-clinic/private-skin-clinic-milton-keynes","Dermatology Service, The Saxon Clinic")</f>
        <v>Dermatology Service, The Saxon Clinic</v>
      </c>
      <c r="C163" s="43" t="s">
        <v>31</v>
      </c>
      <c r="D163" s="43" t="s">
        <v>32</v>
      </c>
      <c r="E163" s="8" t="s">
        <v>1184</v>
      </c>
      <c r="F163" s="44" t="s">
        <v>1331</v>
      </c>
      <c r="G163" s="44" t="s">
        <v>906</v>
      </c>
      <c r="H163" s="8"/>
    </row>
    <row r="164" spans="1:8" ht="16" customHeight="1" x14ac:dyDescent="0.25">
      <c r="A164" s="42">
        <v>160</v>
      </c>
      <c r="B164" s="8" t="str">
        <f>HYPERLINK("https://www.circlehealthgroup.co.uk/hospitals/the-shelburne-hospital","Dermatology Service, The Shelburne Hospital")</f>
        <v>Dermatology Service, The Shelburne Hospital</v>
      </c>
      <c r="C164" s="43" t="s">
        <v>31</v>
      </c>
      <c r="D164" s="43" t="s">
        <v>32</v>
      </c>
      <c r="E164" s="8" t="s">
        <v>1185</v>
      </c>
      <c r="F164" s="44" t="s">
        <v>1331</v>
      </c>
      <c r="G164" s="44" t="s">
        <v>906</v>
      </c>
      <c r="H164" s="8"/>
    </row>
    <row r="165" spans="1:8" ht="16" customHeight="1" x14ac:dyDescent="0.25">
      <c r="A165" s="42">
        <v>161</v>
      </c>
      <c r="B165" s="8" t="str">
        <f>HYPERLINK("https://www.circlehealthgroup.co.uk/hospitals/the-sloane-hospital?hospitalId=f0c39daa-f4ab-4996-a2ab-67d302eb06b5","Dermatology Service, The Sloane Hospital")</f>
        <v>Dermatology Service, The Sloane Hospital</v>
      </c>
      <c r="C165" s="43" t="s">
        <v>31</v>
      </c>
      <c r="D165" s="43" t="s">
        <v>32</v>
      </c>
      <c r="E165" s="8" t="s">
        <v>1186</v>
      </c>
      <c r="F165" s="44" t="s">
        <v>1331</v>
      </c>
      <c r="G165" s="44" t="s">
        <v>906</v>
      </c>
      <c r="H165" s="8"/>
    </row>
    <row r="166" spans="1:8" ht="16" customHeight="1" x14ac:dyDescent="0.25">
      <c r="A166" s="42">
        <v>162</v>
      </c>
      <c r="B166" s="8" t="str">
        <f>HYPERLINK("https://www.theskinclinic.com/","Dermatology Service, The Wellfield Skin Clinic")</f>
        <v>Dermatology Service, The Wellfield Skin Clinic</v>
      </c>
      <c r="C166" s="43" t="s">
        <v>31</v>
      </c>
      <c r="D166" s="43" t="s">
        <v>32</v>
      </c>
      <c r="E166" s="8" t="s">
        <v>1187</v>
      </c>
      <c r="F166" s="44" t="s">
        <v>1331</v>
      </c>
      <c r="G166" s="44" t="s">
        <v>904</v>
      </c>
      <c r="H166" s="8"/>
    </row>
    <row r="167" spans="1:8" ht="16" customHeight="1" x14ac:dyDescent="0.25">
      <c r="A167" s="42">
        <v>163</v>
      </c>
      <c r="B167" s="8" t="str">
        <f>HYPERLINK("https://www.hcahealthcare.co.uk/facilities/the-wellington-hospital","Dermatology Service, The Wellington Hospital")</f>
        <v>Dermatology Service, The Wellington Hospital</v>
      </c>
      <c r="C167" s="43" t="s">
        <v>31</v>
      </c>
      <c r="D167" s="43" t="s">
        <v>32</v>
      </c>
      <c r="E167" s="8" t="s">
        <v>1188</v>
      </c>
      <c r="F167" s="44" t="s">
        <v>1331</v>
      </c>
      <c r="G167" s="44" t="s">
        <v>906</v>
      </c>
      <c r="H167" s="8"/>
    </row>
    <row r="168" spans="1:8" ht="16" customHeight="1" x14ac:dyDescent="0.25">
      <c r="A168" s="42">
        <v>164</v>
      </c>
      <c r="B168" s="8" t="str">
        <f>HYPERLINK("https://www.hcahealthcare.co.uk/facilities/the-wellington-hospital/our-centres/the-wellington-hospital-elstree-waterfront","Dermatology Service, The Wellington Hospital Elstree Waterfront")</f>
        <v>Dermatology Service, The Wellington Hospital Elstree Waterfront</v>
      </c>
      <c r="C168" s="43" t="s">
        <v>31</v>
      </c>
      <c r="D168" s="43" t="s">
        <v>32</v>
      </c>
      <c r="E168" s="8" t="s">
        <v>1189</v>
      </c>
      <c r="F168" s="44" t="s">
        <v>1331</v>
      </c>
      <c r="G168" s="44" t="s">
        <v>906</v>
      </c>
      <c r="H168" s="8"/>
    </row>
    <row r="169" spans="1:8" ht="16" customHeight="1" x14ac:dyDescent="0.25">
      <c r="A169" s="42">
        <v>165</v>
      </c>
      <c r="B169" s="8" t="str">
        <f>HYPERLINK("https://www.hcahealthcare.co.uk/facilities/the-wilmslow-hospital","Dermatology Service, The Wilmslow Hospital")</f>
        <v>Dermatology Service, The Wilmslow Hospital</v>
      </c>
      <c r="C169" s="43" t="s">
        <v>31</v>
      </c>
      <c r="D169" s="43" t="s">
        <v>32</v>
      </c>
      <c r="E169" s="8" t="s">
        <v>1190</v>
      </c>
      <c r="F169" s="44" t="s">
        <v>1331</v>
      </c>
      <c r="G169" s="44" t="s">
        <v>906</v>
      </c>
      <c r="H169" s="8"/>
    </row>
    <row r="170" spans="1:8" ht="16" customHeight="1" x14ac:dyDescent="0.25">
      <c r="A170" s="42">
        <v>166</v>
      </c>
      <c r="B170" s="8" t="str">
        <f>HYPERLINK("https://www.circlehealthgroup.co.uk/hospitals/the-winterbourne-hospital/private-dermatology-dorchester","Dermatology Service, The Winterbourne Hospital")</f>
        <v>Dermatology Service, The Winterbourne Hospital</v>
      </c>
      <c r="C170" s="43" t="s">
        <v>31</v>
      </c>
      <c r="D170" s="43" t="s">
        <v>32</v>
      </c>
      <c r="E170" s="8" t="s">
        <v>1191</v>
      </c>
      <c r="F170" s="44" t="s">
        <v>1331</v>
      </c>
      <c r="G170" s="44" t="s">
        <v>906</v>
      </c>
      <c r="H170" s="8"/>
    </row>
    <row r="171" spans="1:8" ht="16" customHeight="1" x14ac:dyDescent="0.25">
      <c r="A171" s="42">
        <v>167</v>
      </c>
      <c r="B171" s="8" t="str">
        <f>HYPERLINK("https://www.circlehealthgroup.co.uk/hospitals/thornbury-hospital/dermatology","Dermatology Service, Thornbury Hospital")</f>
        <v>Dermatology Service, Thornbury Hospital</v>
      </c>
      <c r="C171" s="43" t="s">
        <v>31</v>
      </c>
      <c r="D171" s="43" t="s">
        <v>32</v>
      </c>
      <c r="E171" s="8" t="s">
        <v>1192</v>
      </c>
      <c r="F171" s="44" t="s">
        <v>1331</v>
      </c>
      <c r="G171" s="44" t="s">
        <v>906</v>
      </c>
      <c r="H171" s="8"/>
    </row>
    <row r="172" spans="1:8" ht="16" customHeight="1" x14ac:dyDescent="0.25">
      <c r="A172" s="42">
        <v>168</v>
      </c>
      <c r="B172" s="8" t="str">
        <f>HYPERLINK("https://www.circlehealthgroup.co.uk/hospitals/three-shires-hospital/private-dermatology-northampton","Dermatology Service, Three Shires Hospital")</f>
        <v>Dermatology Service, Three Shires Hospital</v>
      </c>
      <c r="C172" s="43" t="s">
        <v>31</v>
      </c>
      <c r="D172" s="43" t="s">
        <v>32</v>
      </c>
      <c r="E172" s="8" t="s">
        <v>1193</v>
      </c>
      <c r="F172" s="44" t="s">
        <v>1331</v>
      </c>
      <c r="G172" s="44" t="s">
        <v>906</v>
      </c>
      <c r="H172" s="8"/>
    </row>
    <row r="173" spans="1:8" ht="16" customHeight="1" x14ac:dyDescent="0.25">
      <c r="A173" s="42">
        <v>169</v>
      </c>
      <c r="B173" s="8" t="str">
        <f>HYPERLINK("https://www.nuffieldhealth.com/hospitals/tunbridge-wells/treatments?category=dermatology#filters","Dermatology Service, Tunbridge Wells Hospital")</f>
        <v>Dermatology Service, Tunbridge Wells Hospital</v>
      </c>
      <c r="C173" s="43" t="s">
        <v>31</v>
      </c>
      <c r="D173" s="43" t="s">
        <v>32</v>
      </c>
      <c r="E173" s="8" t="s">
        <v>1194</v>
      </c>
      <c r="F173" s="44" t="s">
        <v>1331</v>
      </c>
      <c r="G173" s="44" t="s">
        <v>906</v>
      </c>
      <c r="H173" s="8"/>
    </row>
    <row r="174" spans="1:8" ht="16" customHeight="1" x14ac:dyDescent="0.25">
      <c r="A174" s="42">
        <v>170</v>
      </c>
      <c r="B174" s="8" t="str">
        <f>HYPERLINK("https://walkin-clinic.co.uk/dermatology","Dermatology Service, Walk In Clinic")</f>
        <v>Dermatology Service, Walk In Clinic</v>
      </c>
      <c r="C174" s="43" t="s">
        <v>31</v>
      </c>
      <c r="D174" s="43" t="s">
        <v>32</v>
      </c>
      <c r="E174" s="8" t="s">
        <v>1316</v>
      </c>
      <c r="F174" s="44" t="s">
        <v>1331</v>
      </c>
      <c r="G174" s="44" t="s">
        <v>906</v>
      </c>
      <c r="H174" s="8"/>
    </row>
    <row r="175" spans="1:8" ht="16" customHeight="1" x14ac:dyDescent="0.25">
      <c r="A175" s="42">
        <v>171</v>
      </c>
      <c r="B175" s="8" t="str">
        <f>HYPERLINK("https://www.nuffieldhealth.com/hospitals/warwickshire/treatments?category=dermatology#filters","Dermatology Service, Warwickshire Hospital")</f>
        <v>Dermatology Service, Warwickshire Hospital</v>
      </c>
      <c r="C175" s="43" t="s">
        <v>31</v>
      </c>
      <c r="D175" s="43" t="s">
        <v>32</v>
      </c>
      <c r="E175" s="8" t="s">
        <v>1195</v>
      </c>
      <c r="F175" s="44" t="s">
        <v>1331</v>
      </c>
      <c r="G175" s="44" t="s">
        <v>906</v>
      </c>
      <c r="H175" s="8"/>
    </row>
    <row r="176" spans="1:8" ht="16" customHeight="1" x14ac:dyDescent="0.25">
      <c r="A176" s="42">
        <v>172</v>
      </c>
      <c r="B176" s="8" t="str">
        <f>HYPERLINK("https://www.nuffieldhealth.com/hospitals/wessex/treatments?category=dermatology#filters","Dermatology Service, Wessex Hospital")</f>
        <v>Dermatology Service, Wessex Hospital</v>
      </c>
      <c r="C176" s="43" t="s">
        <v>31</v>
      </c>
      <c r="D176" s="43" t="s">
        <v>32</v>
      </c>
      <c r="E176" s="8" t="s">
        <v>1196</v>
      </c>
      <c r="F176" s="44" t="s">
        <v>1331</v>
      </c>
      <c r="G176" s="44" t="s">
        <v>906</v>
      </c>
      <c r="H176" s="8"/>
    </row>
    <row r="177" spans="1:8" ht="16" customHeight="1" x14ac:dyDescent="0.25">
      <c r="A177" s="42">
        <v>173</v>
      </c>
      <c r="B177" s="8" t="str">
        <f>HYPERLINK("https://www.winfieldhospital.co.uk/treatments/dermatology","Dermatology Service, Winfield Hospital")</f>
        <v>Dermatology Service, Winfield Hospital</v>
      </c>
      <c r="C177" s="43" t="s">
        <v>31</v>
      </c>
      <c r="D177" s="43" t="s">
        <v>32</v>
      </c>
      <c r="E177" s="8" t="s">
        <v>1197</v>
      </c>
      <c r="F177" s="44" t="s">
        <v>1331</v>
      </c>
      <c r="G177" s="44" t="s">
        <v>904</v>
      </c>
      <c r="H177" s="8"/>
    </row>
    <row r="178" spans="1:8" ht="16" customHeight="1" x14ac:dyDescent="0.25">
      <c r="A178" s="42">
        <v>174</v>
      </c>
      <c r="B178" s="8" t="str">
        <f>HYPERLINK("https://www.nuffieldhealth.com/hospitals/woking/treatments/dermatological-surgery","Dermatology Service, Woking Hospital")</f>
        <v>Dermatology Service, Woking Hospital</v>
      </c>
      <c r="C178" s="43" t="s">
        <v>31</v>
      </c>
      <c r="D178" s="43" t="s">
        <v>32</v>
      </c>
      <c r="E178" s="8" t="s">
        <v>1198</v>
      </c>
      <c r="F178" s="44" t="s">
        <v>1331</v>
      </c>
      <c r="G178" s="44" t="s">
        <v>904</v>
      </c>
      <c r="H178" s="8"/>
    </row>
    <row r="179" spans="1:8" ht="16" customHeight="1" x14ac:dyDescent="0.25">
      <c r="A179" s="42">
        <v>175</v>
      </c>
      <c r="B179" s="8" t="str">
        <f>HYPERLINK("https://www.nuffieldhealth.com/hospitals/wolverhampton/treatments?category=dermatology#filters","Dermatology Service, Wolverhampton Hospital")</f>
        <v>Dermatology Service, Wolverhampton Hospital</v>
      </c>
      <c r="C179" s="43" t="s">
        <v>31</v>
      </c>
      <c r="D179" s="43" t="s">
        <v>32</v>
      </c>
      <c r="E179" s="8" t="s">
        <v>1199</v>
      </c>
      <c r="F179" s="44" t="s">
        <v>1331</v>
      </c>
      <c r="G179" s="44" t="s">
        <v>904</v>
      </c>
      <c r="H179" s="8"/>
    </row>
    <row r="180" spans="1:8" ht="16" customHeight="1" x14ac:dyDescent="0.25">
      <c r="A180" s="42">
        <v>176</v>
      </c>
      <c r="B180" s="8" t="str">
        <f>HYPERLINK("https://www.woodlandhospital.co.uk/treatments/dermatology","Dermatology Service, Woodland Hospital")</f>
        <v>Dermatology Service, Woodland Hospital</v>
      </c>
      <c r="C180" s="43" t="s">
        <v>31</v>
      </c>
      <c r="D180" s="43" t="s">
        <v>32</v>
      </c>
      <c r="E180" s="8" t="s">
        <v>1200</v>
      </c>
      <c r="F180" s="44" t="s">
        <v>1331</v>
      </c>
      <c r="G180" s="44" t="s">
        <v>904</v>
      </c>
      <c r="H180" s="8"/>
    </row>
    <row r="181" spans="1:8" ht="16" customHeight="1" x14ac:dyDescent="0.25">
      <c r="A181" s="42">
        <v>177</v>
      </c>
      <c r="B181" s="8" t="str">
        <f>HYPERLINK("https://www.circlehealthgroup.co.uk/hospitals/woodlands-hospital/private-skin-clinic-darlington","Dermatology Service, Woodlands Hospital")</f>
        <v>Dermatology Service, Woodlands Hospital</v>
      </c>
      <c r="C181" s="43" t="s">
        <v>31</v>
      </c>
      <c r="D181" s="43" t="s">
        <v>32</v>
      </c>
      <c r="E181" s="8" t="s">
        <v>1201</v>
      </c>
      <c r="F181" s="44" t="s">
        <v>1331</v>
      </c>
      <c r="G181" s="44" t="s">
        <v>906</v>
      </c>
      <c r="H181" s="8"/>
    </row>
    <row r="182" spans="1:8" ht="16" customHeight="1" x14ac:dyDescent="0.25">
      <c r="A182" s="42">
        <v>178</v>
      </c>
      <c r="B182" s="8" t="str">
        <f>HYPERLINK("https://www.woodthorpehospital.co.uk/treatments/dermatology","Dermatology Service, Woodthorpe Hospital")</f>
        <v>Dermatology Service, Woodthorpe Hospital</v>
      </c>
      <c r="C182" s="43" t="s">
        <v>31</v>
      </c>
      <c r="D182" s="43" t="s">
        <v>32</v>
      </c>
      <c r="E182" s="8" t="s">
        <v>1202</v>
      </c>
      <c r="F182" s="44" t="s">
        <v>1331</v>
      </c>
      <c r="G182" s="44" t="s">
        <v>904</v>
      </c>
      <c r="H182" s="8"/>
    </row>
    <row r="183" spans="1:8" ht="16" customHeight="1" x14ac:dyDescent="0.25">
      <c r="A183" s="42">
        <v>179</v>
      </c>
      <c r="B183" s="8" t="str">
        <f>HYPERLINK("https://www.nuffieldhealth.com/hospitals/york/treatments?category=dermatology#filters","Dermatology Service, York Hospital")</f>
        <v>Dermatology Service, York Hospital</v>
      </c>
      <c r="C183" s="43" t="s">
        <v>31</v>
      </c>
      <c r="D183" s="43" t="s">
        <v>32</v>
      </c>
      <c r="E183" s="8" t="s">
        <v>1203</v>
      </c>
      <c r="F183" s="44" t="s">
        <v>1331</v>
      </c>
      <c r="G183" s="44" t="s">
        <v>904</v>
      </c>
      <c r="H183" s="8"/>
    </row>
    <row r="184" spans="1:8" ht="16" customHeight="1" x14ac:dyDescent="0.25">
      <c r="A184" s="42">
        <v>180</v>
      </c>
      <c r="B184" s="8" t="str">
        <f>HYPERLINK("https://hje.org.uk/services/dermatology-unit/about/","Dermatology Unit, St John &amp; St Elizabeth Hospital")</f>
        <v>Dermatology Unit, St John &amp; St Elizabeth Hospital</v>
      </c>
      <c r="C184" s="43" t="s">
        <v>31</v>
      </c>
      <c r="D184" s="43" t="s">
        <v>32</v>
      </c>
      <c r="E184" s="8" t="s">
        <v>1204</v>
      </c>
      <c r="F184" s="44" t="s">
        <v>1331</v>
      </c>
      <c r="G184" s="44" t="s">
        <v>906</v>
      </c>
      <c r="H184" s="8"/>
    </row>
    <row r="185" spans="1:8" ht="16" customHeight="1" x14ac:dyDescent="0.25">
      <c r="A185" s="42">
        <v>181</v>
      </c>
      <c r="B185" s="8" t="str">
        <f>HYPERLINK("https://www.sulishospital.com/treatments/specialist-units/dermatology-unit","Dermatology Unit, Sulis Hospital")</f>
        <v>Dermatology Unit, Sulis Hospital</v>
      </c>
      <c r="C185" s="43" t="s">
        <v>31</v>
      </c>
      <c r="D185" s="43" t="s">
        <v>32</v>
      </c>
      <c r="E185" s="8" t="s">
        <v>1325</v>
      </c>
      <c r="F185" s="44" t="s">
        <v>1331</v>
      </c>
      <c r="G185" s="44" t="s">
        <v>906</v>
      </c>
      <c r="H185" s="8"/>
    </row>
    <row r="186" spans="1:8" ht="16" customHeight="1" x14ac:dyDescent="0.25">
      <c r="A186" s="42">
        <v>182</v>
      </c>
      <c r="B186" s="8" t="str">
        <f>HYPERLINK("https://dermconsult.co.uk/","DermConsult")</f>
        <v>DermConsult</v>
      </c>
      <c r="C186" s="43" t="s">
        <v>31</v>
      </c>
      <c r="D186" s="43" t="s">
        <v>32</v>
      </c>
      <c r="E186" s="8" t="s">
        <v>1319</v>
      </c>
      <c r="F186" s="44" t="s">
        <v>1331</v>
      </c>
      <c r="G186" s="44" t="s">
        <v>906</v>
      </c>
      <c r="H186" s="8"/>
    </row>
    <row r="187" spans="1:8" ht="16" customHeight="1" x14ac:dyDescent="0.25">
      <c r="A187" s="42">
        <v>183</v>
      </c>
      <c r="B187" s="8" t="str">
        <f>HYPERLINK("https://everythingskin.co.uk/dermatology/","Everything Skin Clinic")</f>
        <v>Everything Skin Clinic</v>
      </c>
      <c r="C187" s="43" t="s">
        <v>31</v>
      </c>
      <c r="D187" s="43" t="s">
        <v>32</v>
      </c>
      <c r="E187" s="8" t="s">
        <v>1328</v>
      </c>
      <c r="F187" s="44" t="s">
        <v>1331</v>
      </c>
      <c r="G187" s="44" t="s">
        <v>906</v>
      </c>
      <c r="H187" s="8"/>
    </row>
    <row r="188" spans="1:8" ht="16" customHeight="1" x14ac:dyDescent="0.25">
      <c r="A188" s="42">
        <v>184</v>
      </c>
      <c r="B188" s="8" t="str">
        <f>HYPERLINK("https://www.theharleystreetdermatologyclinic.co.uk/harley-street-dermatology-clinic/our-team/","Harley Street Dermatology Clinic")</f>
        <v>Harley Street Dermatology Clinic</v>
      </c>
      <c r="C188" s="43" t="s">
        <v>31</v>
      </c>
      <c r="D188" s="43" t="s">
        <v>32</v>
      </c>
      <c r="E188" s="8" t="s">
        <v>1205</v>
      </c>
      <c r="F188" s="44" t="s">
        <v>1331</v>
      </c>
      <c r="G188" s="44" t="s">
        <v>906</v>
      </c>
      <c r="H188" s="8"/>
    </row>
    <row r="189" spans="1:8" ht="16" customHeight="1" x14ac:dyDescent="0.25">
      <c r="A189" s="42">
        <v>185</v>
      </c>
      <c r="B189" s="8" t="str">
        <f>HYPERLINK("https://londondermatologyclinic.com/","London Dermatology Clinic")</f>
        <v>London Dermatology Clinic</v>
      </c>
      <c r="C189" s="43" t="s">
        <v>31</v>
      </c>
      <c r="D189" s="43" t="s">
        <v>32</v>
      </c>
      <c r="E189" s="8" t="s">
        <v>1206</v>
      </c>
      <c r="F189" s="44" t="s">
        <v>1331</v>
      </c>
      <c r="G189" s="44" t="s">
        <v>906</v>
      </c>
      <c r="H189" s="8"/>
    </row>
    <row r="190" spans="1:8" ht="16" customHeight="1" x14ac:dyDescent="0.25">
      <c r="A190" s="42">
        <v>186</v>
      </c>
      <c r="B190" s="8" t="str">
        <f>HYPERLINK("https://londonmedical.co.uk/dermatology/","London Medical")</f>
        <v>London Medical</v>
      </c>
      <c r="C190" s="43" t="s">
        <v>31</v>
      </c>
      <c r="D190" s="43" t="s">
        <v>32</v>
      </c>
      <c r="E190" s="8" t="s">
        <v>1207</v>
      </c>
      <c r="F190" s="44" t="s">
        <v>1331</v>
      </c>
      <c r="G190" s="44" t="s">
        <v>906</v>
      </c>
      <c r="H190" s="8"/>
    </row>
    <row r="191" spans="1:8" ht="16" customHeight="1" x14ac:dyDescent="0.25">
      <c r="A191" s="42">
        <v>187</v>
      </c>
      <c r="B191" s="8" t="str">
        <f>HYPERLINK("https://www.thelondonclinic.co.uk/services/diagnostics/dermatology-clinic","One-stop Dermatology Clinic by The London Clinic")</f>
        <v>One-stop Dermatology Clinic by The London Clinic</v>
      </c>
      <c r="C191" s="43" t="s">
        <v>31</v>
      </c>
      <c r="D191" s="43" t="s">
        <v>32</v>
      </c>
      <c r="E191" s="8" t="s">
        <v>1327</v>
      </c>
      <c r="F191" s="44" t="s">
        <v>1331</v>
      </c>
      <c r="G191" s="44" t="s">
        <v>906</v>
      </c>
      <c r="H191" s="8"/>
    </row>
    <row r="192" spans="1:8" ht="16" customHeight="1" x14ac:dyDescent="0.25">
      <c r="A192" s="42">
        <v>188</v>
      </c>
      <c r="B192" s="8" t="str">
        <f>HYPERLINK("https://oxonahealth.co.uk/eczema-psoriasis-rosacea-clinic/","Oxona Healthcare")</f>
        <v>Oxona Healthcare</v>
      </c>
      <c r="C192" s="43" t="s">
        <v>31</v>
      </c>
      <c r="D192" s="43" t="s">
        <v>32</v>
      </c>
      <c r="E192" s="8" t="s">
        <v>1322</v>
      </c>
      <c r="F192" s="44" t="s">
        <v>1331</v>
      </c>
      <c r="G192" s="44" t="s">
        <v>906</v>
      </c>
      <c r="H192" s="8"/>
    </row>
    <row r="193" spans="1:8" ht="16" customHeight="1" x14ac:dyDescent="0.25">
      <c r="A193" s="42">
        <v>189</v>
      </c>
      <c r="B193" s="8" t="str">
        <f>HYPERLINK("https://www.ouh.nhs.uk/privatehealthcare/services/medicine-rehab-cardiac/dermatology/consultants.aspx","Private Healthcare Dermatology Service, Oxford University Hospitals")</f>
        <v>Private Healthcare Dermatology Service, Oxford University Hospitals</v>
      </c>
      <c r="C193" s="43" t="s">
        <v>31</v>
      </c>
      <c r="D193" s="43" t="s">
        <v>32</v>
      </c>
      <c r="E193" s="8" t="s">
        <v>1208</v>
      </c>
      <c r="F193" s="44" t="s">
        <v>1331</v>
      </c>
      <c r="G193" s="44" t="s">
        <v>904</v>
      </c>
      <c r="H193" s="8"/>
    </row>
    <row r="194" spans="1:8" ht="16" customHeight="1" x14ac:dyDescent="0.25">
      <c r="A194" s="42">
        <v>190</v>
      </c>
      <c r="B194" s="8" t="str">
        <f>HYPERLINK("https://www.sknclinics.co.uk/clinics/london/barnet-high-street","sk:n Barnet High Street")</f>
        <v>sk:n Barnet High Street</v>
      </c>
      <c r="C194" s="43" t="s">
        <v>31</v>
      </c>
      <c r="D194" s="43" t="s">
        <v>32</v>
      </c>
      <c r="E194" s="8" t="s">
        <v>1209</v>
      </c>
      <c r="F194" s="44" t="s">
        <v>1331</v>
      </c>
      <c r="G194" s="44" t="s">
        <v>906</v>
      </c>
      <c r="H194" s="8"/>
    </row>
    <row r="195" spans="1:8" ht="16" customHeight="1" x14ac:dyDescent="0.25">
      <c r="A195" s="42">
        <v>191</v>
      </c>
      <c r="B195" s="8" t="str">
        <f>HYPERLINK("https://www.sknclinics.co.uk/clinics/the-midlands/birmingham-harborne-road","sk:n Birmingham Harborne Road")</f>
        <v>sk:n Birmingham Harborne Road</v>
      </c>
      <c r="C195" s="43" t="s">
        <v>31</v>
      </c>
      <c r="D195" s="43" t="s">
        <v>32</v>
      </c>
      <c r="E195" s="8" t="s">
        <v>1210</v>
      </c>
      <c r="F195" s="44" t="s">
        <v>1331</v>
      </c>
      <c r="G195" s="44" t="s">
        <v>906</v>
      </c>
      <c r="H195" s="8"/>
    </row>
    <row r="196" spans="1:8" ht="16" customHeight="1" x14ac:dyDescent="0.25">
      <c r="A196" s="42">
        <v>192</v>
      </c>
      <c r="B196" s="8" t="str">
        <f>HYPERLINK("https://www.sknclinics.co.uk/clinics/the-midlands/birmingham-temple-street","sk:n Birmingham Temple Street")</f>
        <v>sk:n Birmingham Temple Street</v>
      </c>
      <c r="C196" s="43" t="s">
        <v>31</v>
      </c>
      <c r="D196" s="43" t="s">
        <v>32</v>
      </c>
      <c r="E196" s="8" t="s">
        <v>1211</v>
      </c>
      <c r="F196" s="44" t="s">
        <v>1331</v>
      </c>
      <c r="G196" s="44" t="s">
        <v>906</v>
      </c>
      <c r="H196" s="8"/>
    </row>
    <row r="197" spans="1:8" ht="16" customHeight="1" x14ac:dyDescent="0.25">
      <c r="A197" s="42">
        <v>193</v>
      </c>
      <c r="B197" s="8" t="str">
        <f>HYPERLINK("https://www.sknclinics.co.uk/clinics/the-south/bournemouth-christchurch-road","sk:n Bournemouth Christchurch Road")</f>
        <v>sk:n Bournemouth Christchurch Road</v>
      </c>
      <c r="C197" s="43" t="s">
        <v>31</v>
      </c>
      <c r="D197" s="43" t="s">
        <v>32</v>
      </c>
      <c r="E197" s="8" t="s">
        <v>1212</v>
      </c>
      <c r="F197" s="44" t="s">
        <v>1331</v>
      </c>
      <c r="G197" s="44" t="s">
        <v>906</v>
      </c>
      <c r="H197" s="8"/>
    </row>
    <row r="198" spans="1:8" ht="16" customHeight="1" x14ac:dyDescent="0.25">
      <c r="A198" s="42">
        <v>194</v>
      </c>
      <c r="B198" s="8" t="str">
        <f>HYPERLINK("https://www.sknclinics.co.uk/clinics/the-south/brentwood-new-road","sk:n Brentwood New Road")</f>
        <v>sk:n Brentwood New Road</v>
      </c>
      <c r="C198" s="43" t="s">
        <v>31</v>
      </c>
      <c r="D198" s="43" t="s">
        <v>32</v>
      </c>
      <c r="E198" s="8" t="s">
        <v>1213</v>
      </c>
      <c r="F198" s="44" t="s">
        <v>1331</v>
      </c>
      <c r="G198" s="44" t="s">
        <v>906</v>
      </c>
      <c r="H198" s="8"/>
    </row>
    <row r="199" spans="1:8" ht="16" customHeight="1" x14ac:dyDescent="0.25">
      <c r="A199" s="42">
        <v>195</v>
      </c>
      <c r="B199" s="8" t="str">
        <f>HYPERLINK("https://www.sknclinics.co.uk/clinics/the-south/brighton-jubilee-street","sk:n Brighton Jubilee Street")</f>
        <v>sk:n Brighton Jubilee Street</v>
      </c>
      <c r="C199" s="43" t="s">
        <v>31</v>
      </c>
      <c r="D199" s="43" t="s">
        <v>32</v>
      </c>
      <c r="E199" s="8" t="s">
        <v>1214</v>
      </c>
      <c r="F199" s="44" t="s">
        <v>1331</v>
      </c>
      <c r="G199" s="44" t="s">
        <v>906</v>
      </c>
      <c r="H199" s="8"/>
    </row>
    <row r="200" spans="1:8" ht="16" customHeight="1" x14ac:dyDescent="0.25">
      <c r="A200" s="42">
        <v>196</v>
      </c>
      <c r="B200" s="8" t="str">
        <f>HYPERLINK("https://www.sknclinics.co.uk/clinics/the-south/bristol-clifton-whiteladiesroad","sk:n Bristol Clifton Whiteladies Road")</f>
        <v>sk:n Bristol Clifton Whiteladies Road</v>
      </c>
      <c r="C200" s="43" t="s">
        <v>31</v>
      </c>
      <c r="D200" s="43" t="s">
        <v>32</v>
      </c>
      <c r="E200" s="8" t="s">
        <v>1215</v>
      </c>
      <c r="F200" s="44" t="s">
        <v>1331</v>
      </c>
      <c r="G200" s="44" t="s">
        <v>906</v>
      </c>
      <c r="H200" s="8"/>
    </row>
    <row r="201" spans="1:8" ht="16" customHeight="1" x14ac:dyDescent="0.25">
      <c r="A201" s="42">
        <v>197</v>
      </c>
      <c r="B201" s="8" t="str">
        <f>HYPERLINK("https://www.sknclinics.co.uk/clinics/the-midlands/cambridge-brooklands-avenue","sk:n Cambridge Brooklands Avenue")</f>
        <v>sk:n Cambridge Brooklands Avenue</v>
      </c>
      <c r="C201" s="43" t="s">
        <v>31</v>
      </c>
      <c r="D201" s="43" t="s">
        <v>32</v>
      </c>
      <c r="E201" s="8" t="s">
        <v>1216</v>
      </c>
      <c r="F201" s="44" t="s">
        <v>1331</v>
      </c>
      <c r="G201" s="44" t="s">
        <v>906</v>
      </c>
      <c r="H201" s="8"/>
    </row>
    <row r="202" spans="1:8" ht="16" customHeight="1" x14ac:dyDescent="0.25">
      <c r="A202" s="42">
        <v>198</v>
      </c>
      <c r="B202" s="8" t="str">
        <f>HYPERLINK("https://www.sknclinics.co.uk/clinics/the-south/chelmsford-navigation-yard","sk:n Chelmsford Navigation Yard")</f>
        <v>sk:n Chelmsford Navigation Yard</v>
      </c>
      <c r="C202" s="43" t="s">
        <v>31</v>
      </c>
      <c r="D202" s="43" t="s">
        <v>32</v>
      </c>
      <c r="E202" s="8" t="s">
        <v>1217</v>
      </c>
      <c r="F202" s="44" t="s">
        <v>1331</v>
      </c>
      <c r="G202" s="44" t="s">
        <v>906</v>
      </c>
      <c r="H202" s="8"/>
    </row>
    <row r="203" spans="1:8" ht="16" customHeight="1" x14ac:dyDescent="0.25">
      <c r="A203" s="42">
        <v>199</v>
      </c>
      <c r="B203" s="8" t="str">
        <f>HYPERLINK("https://www.sknclinics.co.uk/clinics/the-midlands/cheltenham-montpellier-walk","sk:n Cheltenham Montpellier Walk")</f>
        <v>sk:n Cheltenham Montpellier Walk</v>
      </c>
      <c r="C203" s="43" t="s">
        <v>31</v>
      </c>
      <c r="D203" s="43" t="s">
        <v>32</v>
      </c>
      <c r="E203" s="8" t="s">
        <v>1218</v>
      </c>
      <c r="F203" s="44" t="s">
        <v>1331</v>
      </c>
      <c r="G203" s="44" t="s">
        <v>906</v>
      </c>
      <c r="H203" s="8"/>
    </row>
    <row r="204" spans="1:8" ht="16" customHeight="1" x14ac:dyDescent="0.25">
      <c r="A204" s="42">
        <v>200</v>
      </c>
      <c r="B204" s="8" t="str">
        <f>HYPERLINK("https://www.sknclinics.co.uk/clinics/the-north-and-scotland/chester-vicars-lane","sk:n Chester Vicars Lane")</f>
        <v>sk:n Chester Vicars Lane</v>
      </c>
      <c r="C204" s="43" t="s">
        <v>31</v>
      </c>
      <c r="D204" s="43" t="s">
        <v>32</v>
      </c>
      <c r="E204" s="8" t="s">
        <v>1219</v>
      </c>
      <c r="F204" s="44" t="s">
        <v>1331</v>
      </c>
      <c r="G204" s="44" t="s">
        <v>906</v>
      </c>
      <c r="H204" s="8"/>
    </row>
    <row r="205" spans="1:8" ht="16" customHeight="1" x14ac:dyDescent="0.25">
      <c r="A205" s="42">
        <v>201</v>
      </c>
      <c r="B205" s="8" t="str">
        <f>HYPERLINK("https://www.sknclinics.co.uk/clinics/the-south/epsom-rowan-house","sk:n Epsom Langley Ward")</f>
        <v>sk:n Epsom Langley Ward</v>
      </c>
      <c r="C205" s="43" t="s">
        <v>31</v>
      </c>
      <c r="D205" s="43" t="s">
        <v>32</v>
      </c>
      <c r="E205" s="8" t="s">
        <v>1220</v>
      </c>
      <c r="F205" s="44" t="s">
        <v>1331</v>
      </c>
      <c r="G205" s="44" t="s">
        <v>906</v>
      </c>
      <c r="H205" s="8"/>
    </row>
    <row r="206" spans="1:8" ht="16" customHeight="1" x14ac:dyDescent="0.25">
      <c r="A206" s="42">
        <v>202</v>
      </c>
      <c r="B206" s="8" t="str">
        <f>HYPERLINK("https://www.sknclinics.co.uk/clinics/the-south/esher-high-street","sk:n Esher Jill Zander")</f>
        <v>sk:n Esher Jill Zander</v>
      </c>
      <c r="C206" s="43" t="s">
        <v>31</v>
      </c>
      <c r="D206" s="43" t="s">
        <v>32</v>
      </c>
      <c r="E206" s="8" t="s">
        <v>1221</v>
      </c>
      <c r="F206" s="44" t="s">
        <v>1331</v>
      </c>
      <c r="G206" s="44" t="s">
        <v>906</v>
      </c>
      <c r="H206" s="8"/>
    </row>
    <row r="207" spans="1:8" ht="16" customHeight="1" x14ac:dyDescent="0.25">
      <c r="A207" s="42">
        <v>203</v>
      </c>
      <c r="B207" s="8" t="str">
        <f>HYPERLINK("https://www.sknclinics.co.uk/clinics/the-south/guildford-st-marys","sk:n Guildford St Marys")</f>
        <v>sk:n Guildford St Marys</v>
      </c>
      <c r="C207" s="43" t="s">
        <v>31</v>
      </c>
      <c r="D207" s="43" t="s">
        <v>32</v>
      </c>
      <c r="E207" s="8" t="s">
        <v>1222</v>
      </c>
      <c r="F207" s="44" t="s">
        <v>1331</v>
      </c>
      <c r="G207" s="44" t="s">
        <v>906</v>
      </c>
      <c r="H207" s="8"/>
    </row>
    <row r="208" spans="1:8" ht="16" customHeight="1" x14ac:dyDescent="0.25">
      <c r="A208" s="42">
        <v>204</v>
      </c>
      <c r="B208" s="8" t="str">
        <f>HYPERLINK("https://www.sknclinics.co.uk/clinics/the-south/haywards-heath-south-road","sk:n Haywards Heath South Road")</f>
        <v>sk:n Haywards Heath South Road</v>
      </c>
      <c r="C208" s="43" t="s">
        <v>31</v>
      </c>
      <c r="D208" s="43" t="s">
        <v>32</v>
      </c>
      <c r="E208" s="8" t="s">
        <v>1223</v>
      </c>
      <c r="F208" s="44" t="s">
        <v>1331</v>
      </c>
      <c r="G208" s="44" t="s">
        <v>906</v>
      </c>
      <c r="H208" s="8"/>
    </row>
    <row r="209" spans="1:8" ht="16" customHeight="1" x14ac:dyDescent="0.25">
      <c r="A209" s="42">
        <v>205</v>
      </c>
      <c r="B209" s="8" t="str">
        <f>HYPERLINK("https://www.sknclinics.co.uk/clinics/the-south/kent-bluewater","sk:n Kent Bluewater")</f>
        <v>sk:n Kent Bluewater</v>
      </c>
      <c r="C209" s="43" t="s">
        <v>31</v>
      </c>
      <c r="D209" s="43" t="s">
        <v>32</v>
      </c>
      <c r="E209" s="8" t="s">
        <v>1224</v>
      </c>
      <c r="F209" s="44" t="s">
        <v>1331</v>
      </c>
      <c r="G209" s="44" t="s">
        <v>906</v>
      </c>
      <c r="H209" s="8"/>
    </row>
    <row r="210" spans="1:8" ht="16" customHeight="1" x14ac:dyDescent="0.25">
      <c r="A210" s="42">
        <v>206</v>
      </c>
      <c r="B210" s="8" t="str">
        <f>HYPERLINK("https://www.sknclinics.co.uk/clinics/the-midlands/leamington-waterloo-place","sk:n Leamington Waterloo Place")</f>
        <v>sk:n Leamington Waterloo Place</v>
      </c>
      <c r="C210" s="43" t="s">
        <v>31</v>
      </c>
      <c r="D210" s="43" t="s">
        <v>32</v>
      </c>
      <c r="E210" s="8" t="s">
        <v>1225</v>
      </c>
      <c r="F210" s="44" t="s">
        <v>1331</v>
      </c>
      <c r="G210" s="44" t="s">
        <v>906</v>
      </c>
      <c r="H210" s="8"/>
    </row>
    <row r="211" spans="1:8" ht="16" customHeight="1" x14ac:dyDescent="0.25">
      <c r="A211" s="42">
        <v>207</v>
      </c>
      <c r="B211" s="8" t="str">
        <f>HYPERLINK("https://www.sknclinics.co.uk/clinics/the-north-and-scotland/leeds-street-lane","sk:n Leeds Street Lane")</f>
        <v>sk:n Leeds Street Lane</v>
      </c>
      <c r="C211" s="43" t="s">
        <v>31</v>
      </c>
      <c r="D211" s="43" t="s">
        <v>32</v>
      </c>
      <c r="E211" s="8" t="s">
        <v>1226</v>
      </c>
      <c r="F211" s="44" t="s">
        <v>1331</v>
      </c>
      <c r="G211" s="44" t="s">
        <v>906</v>
      </c>
      <c r="H211" s="8"/>
    </row>
    <row r="212" spans="1:8" ht="16" customHeight="1" x14ac:dyDescent="0.25">
      <c r="A212" s="42">
        <v>208</v>
      </c>
      <c r="B212" s="8" t="str">
        <f>HYPERLINK("https://www.sknclinics.co.uk/clinics/the-midlands/leicester-gallowtree-gate","sk:n Leicester Gallowtree Gate")</f>
        <v>sk:n Leicester Gallowtree Gate</v>
      </c>
      <c r="C212" s="43" t="s">
        <v>31</v>
      </c>
      <c r="D212" s="43" t="s">
        <v>32</v>
      </c>
      <c r="E212" s="8" t="s">
        <v>1227</v>
      </c>
      <c r="F212" s="44" t="s">
        <v>1331</v>
      </c>
      <c r="G212" s="44" t="s">
        <v>906</v>
      </c>
      <c r="H212" s="8"/>
    </row>
    <row r="213" spans="1:8" ht="16" customHeight="1" x14ac:dyDescent="0.25">
      <c r="A213" s="42">
        <v>209</v>
      </c>
      <c r="B213" s="8" t="str">
        <f>HYPERLINK("https://www.sknclinics.co.uk/clinics/the-north-and-scotland/liverpool-bold-street","sk:n Liverpool Bold Street")</f>
        <v>sk:n Liverpool Bold Street</v>
      </c>
      <c r="C213" s="43" t="s">
        <v>31</v>
      </c>
      <c r="D213" s="43" t="s">
        <v>32</v>
      </c>
      <c r="E213" s="8" t="s">
        <v>1228</v>
      </c>
      <c r="F213" s="44" t="s">
        <v>1331</v>
      </c>
      <c r="G213" s="44" t="s">
        <v>906</v>
      </c>
      <c r="H213" s="8"/>
    </row>
    <row r="214" spans="1:8" ht="16" customHeight="1" x14ac:dyDescent="0.25">
      <c r="A214" s="42">
        <v>210</v>
      </c>
      <c r="B214" s="8" t="str">
        <f>HYPERLINK("https://www.sknclinics.co.uk/clinics/london/london-canary-wharf","sk:n London Canary Wharf")</f>
        <v>sk:n London Canary Wharf</v>
      </c>
      <c r="C214" s="43" t="s">
        <v>31</v>
      </c>
      <c r="D214" s="43" t="s">
        <v>32</v>
      </c>
      <c r="E214" s="8" t="s">
        <v>1229</v>
      </c>
      <c r="F214" s="44" t="s">
        <v>1331</v>
      </c>
      <c r="G214" s="44" t="s">
        <v>906</v>
      </c>
      <c r="H214" s="8"/>
    </row>
    <row r="215" spans="1:8" ht="16" customHeight="1" x14ac:dyDescent="0.25">
      <c r="A215" s="42">
        <v>211</v>
      </c>
      <c r="B215" s="8" t="str">
        <f>HYPERLINK("https://www.sknclinics.co.uk/clinics/london/london-chiswick","sk:n London Chiswick")</f>
        <v>sk:n London Chiswick</v>
      </c>
      <c r="C215" s="43" t="s">
        <v>31</v>
      </c>
      <c r="D215" s="43" t="s">
        <v>32</v>
      </c>
      <c r="E215" s="8" t="s">
        <v>1230</v>
      </c>
      <c r="F215" s="44" t="s">
        <v>1331</v>
      </c>
      <c r="G215" s="44" t="s">
        <v>906</v>
      </c>
      <c r="H215" s="8"/>
    </row>
    <row r="216" spans="1:8" ht="16" customHeight="1" x14ac:dyDescent="0.25">
      <c r="A216" s="42">
        <v>212</v>
      </c>
      <c r="B216" s="8" t="str">
        <f>HYPERLINK("https://www.sknclinics.co.uk/clinics/london/clapham-lavender-hill","sk:n London Clapham")</f>
        <v>sk:n London Clapham</v>
      </c>
      <c r="C216" s="43" t="s">
        <v>31</v>
      </c>
      <c r="D216" s="43" t="s">
        <v>32</v>
      </c>
      <c r="E216" s="8" t="s">
        <v>1231</v>
      </c>
      <c r="F216" s="44" t="s">
        <v>1331</v>
      </c>
      <c r="G216" s="44" t="s">
        <v>906</v>
      </c>
      <c r="H216" s="8"/>
    </row>
    <row r="217" spans="1:8" ht="16" customHeight="1" x14ac:dyDescent="0.25">
      <c r="A217" s="42">
        <v>213</v>
      </c>
      <c r="B217" s="8" t="str">
        <f>HYPERLINK("https://www.sknclinics.co.uk/clinics/london/london-ealing-broadway","sk:n London Ealing Broadway")</f>
        <v>sk:n London Ealing Broadway</v>
      </c>
      <c r="C217" s="43" t="s">
        <v>31</v>
      </c>
      <c r="D217" s="43" t="s">
        <v>32</v>
      </c>
      <c r="E217" s="8" t="s">
        <v>1232</v>
      </c>
      <c r="F217" s="44" t="s">
        <v>1331</v>
      </c>
      <c r="G217" s="44" t="s">
        <v>906</v>
      </c>
      <c r="H217" s="8"/>
    </row>
    <row r="218" spans="1:8" ht="16" customHeight="1" x14ac:dyDescent="0.25">
      <c r="A218" s="42">
        <v>214</v>
      </c>
      <c r="B218" s="8" t="str">
        <f>HYPERLINK("https://www.sknclinics.co.uk/clinics/london/london-harley-street","sk:n London Harley Street")</f>
        <v>sk:n London Harley Street</v>
      </c>
      <c r="C218" s="43" t="s">
        <v>31</v>
      </c>
      <c r="D218" s="43" t="s">
        <v>32</v>
      </c>
      <c r="E218" s="8" t="s">
        <v>1233</v>
      </c>
      <c r="F218" s="44" t="s">
        <v>1331</v>
      </c>
      <c r="G218" s="44" t="s">
        <v>906</v>
      </c>
      <c r="H218" s="8"/>
    </row>
    <row r="219" spans="1:8" ht="16" customHeight="1" x14ac:dyDescent="0.25">
      <c r="A219" s="42">
        <v>215</v>
      </c>
      <c r="B219" s="8" t="str">
        <f>HYPERLINK("https://www.sknclinics.co.uk/clinics/london/harrow-station-road","sk:n London Harrow")</f>
        <v>sk:n London Harrow</v>
      </c>
      <c r="C219" s="43" t="s">
        <v>31</v>
      </c>
      <c r="D219" s="43" t="s">
        <v>32</v>
      </c>
      <c r="E219" s="8" t="s">
        <v>1234</v>
      </c>
      <c r="F219" s="44" t="s">
        <v>1331</v>
      </c>
      <c r="G219" s="44" t="s">
        <v>906</v>
      </c>
      <c r="H219" s="8"/>
    </row>
    <row r="220" spans="1:8" ht="16" customHeight="1" x14ac:dyDescent="0.25">
      <c r="A220" s="42">
        <v>216</v>
      </c>
      <c r="B220" s="8" t="str">
        <f>HYPERLINK("https://www.sknclinics.co.uk/clinics/london/london-holborn","sk:n London Holborn")</f>
        <v>sk:n London Holborn</v>
      </c>
      <c r="C220" s="43" t="s">
        <v>31</v>
      </c>
      <c r="D220" s="43" t="s">
        <v>32</v>
      </c>
      <c r="E220" s="8" t="s">
        <v>1235</v>
      </c>
      <c r="F220" s="44" t="s">
        <v>1331</v>
      </c>
      <c r="G220" s="44" t="s">
        <v>906</v>
      </c>
      <c r="H220" s="8"/>
    </row>
    <row r="221" spans="1:8" ht="16" customHeight="1" x14ac:dyDescent="0.25">
      <c r="A221" s="42">
        <v>217</v>
      </c>
      <c r="B221" s="8" t="str">
        <f>HYPERLINK("https://www.sknclinics.co.uk/clinics/london/muswell-hill","sk:n London Muswell Hill")</f>
        <v>sk:n London Muswell Hill</v>
      </c>
      <c r="C221" s="43" t="s">
        <v>31</v>
      </c>
      <c r="D221" s="43" t="s">
        <v>32</v>
      </c>
      <c r="E221" s="8" t="s">
        <v>1236</v>
      </c>
      <c r="F221" s="44" t="s">
        <v>1331</v>
      </c>
      <c r="G221" s="44" t="s">
        <v>906</v>
      </c>
      <c r="H221" s="8"/>
    </row>
    <row r="222" spans="1:8" ht="16" customHeight="1" x14ac:dyDescent="0.25">
      <c r="A222" s="42">
        <v>218</v>
      </c>
      <c r="B222" s="8" t="str">
        <f>HYPERLINK("https://www.sknclinics.co.uk/clinics/london/london-south-woodford","sk:n London South Woodford")</f>
        <v>sk:n London South Woodford</v>
      </c>
      <c r="C222" s="43" t="s">
        <v>31</v>
      </c>
      <c r="D222" s="43" t="s">
        <v>32</v>
      </c>
      <c r="E222" s="8" t="s">
        <v>1237</v>
      </c>
      <c r="F222" s="44" t="s">
        <v>1331</v>
      </c>
      <c r="G222" s="44" t="s">
        <v>906</v>
      </c>
      <c r="H222" s="8"/>
    </row>
    <row r="223" spans="1:8" ht="16" customHeight="1" x14ac:dyDescent="0.25">
      <c r="A223" s="42">
        <v>219</v>
      </c>
      <c r="B223" s="8" t="str">
        <f>HYPERLINK("https://www.sknclinics.co.uk/clinics/london/london-wall","sk:n London Wall")</f>
        <v>sk:n London Wall</v>
      </c>
      <c r="C223" s="43" t="s">
        <v>31</v>
      </c>
      <c r="D223" s="43" t="s">
        <v>32</v>
      </c>
      <c r="E223" s="8" t="s">
        <v>1238</v>
      </c>
      <c r="F223" s="44" t="s">
        <v>1331</v>
      </c>
      <c r="G223" s="44" t="s">
        <v>906</v>
      </c>
      <c r="H223" s="8"/>
    </row>
    <row r="224" spans="1:8" ht="16" customHeight="1" x14ac:dyDescent="0.25">
      <c r="A224" s="42">
        <v>220</v>
      </c>
      <c r="B224" s="8" t="str">
        <f>HYPERLINK("https://www.sknclinics.co.uk/clinics/the-south/maidenhead-st-lukes-road","sk:n Maidenhead St Lukes Road")</f>
        <v>sk:n Maidenhead St Lukes Road</v>
      </c>
      <c r="C224" s="43" t="s">
        <v>31</v>
      </c>
      <c r="D224" s="43" t="s">
        <v>32</v>
      </c>
      <c r="E224" s="8" t="s">
        <v>1239</v>
      </c>
      <c r="F224" s="44" t="s">
        <v>1331</v>
      </c>
      <c r="G224" s="44" t="s">
        <v>906</v>
      </c>
      <c r="H224" s="8"/>
    </row>
    <row r="225" spans="1:8" ht="16" customHeight="1" x14ac:dyDescent="0.25">
      <c r="A225" s="42">
        <v>221</v>
      </c>
      <c r="B225" s="8" t="str">
        <f>HYPERLINK("https://www.sknclinics.co.uk/clinics/the-north-and-scotland/manchester-albert-square","sk:n Manchester Albert Square")</f>
        <v>sk:n Manchester Albert Square</v>
      </c>
      <c r="C225" s="43" t="s">
        <v>31</v>
      </c>
      <c r="D225" s="43" t="s">
        <v>32</v>
      </c>
      <c r="E225" s="8" t="s">
        <v>1240</v>
      </c>
      <c r="F225" s="44" t="s">
        <v>1331</v>
      </c>
      <c r="G225" s="44" t="s">
        <v>906</v>
      </c>
      <c r="H225" s="8"/>
    </row>
    <row r="226" spans="1:8" ht="16" customHeight="1" x14ac:dyDescent="0.25">
      <c r="A226" s="42">
        <v>222</v>
      </c>
      <c r="B226" s="8" t="str">
        <f>HYPERLINK("https://www.sknclinics.co.uk/clinics/the-north-and-scotland/manchester-st-james-square","sk:n Manchester St James Square")</f>
        <v>sk:n Manchester St James Square</v>
      </c>
      <c r="C226" s="43" t="s">
        <v>31</v>
      </c>
      <c r="D226" s="43" t="s">
        <v>32</v>
      </c>
      <c r="E226" s="8" t="s">
        <v>1241</v>
      </c>
      <c r="F226" s="44" t="s">
        <v>1331</v>
      </c>
      <c r="G226" s="44" t="s">
        <v>906</v>
      </c>
      <c r="H226" s="8"/>
    </row>
    <row r="227" spans="1:8" ht="16" customHeight="1" x14ac:dyDescent="0.25">
      <c r="A227" s="42">
        <v>223</v>
      </c>
      <c r="B227" s="8" t="str">
        <f>HYPERLINK("https://www.sknclinics.co.uk/clinics/the-north-and-scotland/middlesbrough-james-cook","sk:n Middlesbrough James Cook")</f>
        <v>sk:n Middlesbrough James Cook</v>
      </c>
      <c r="C227" s="43" t="s">
        <v>31</v>
      </c>
      <c r="D227" s="43" t="s">
        <v>32</v>
      </c>
      <c r="E227" s="8" t="s">
        <v>1242</v>
      </c>
      <c r="F227" s="44" t="s">
        <v>1331</v>
      </c>
      <c r="G227" s="44" t="s">
        <v>906</v>
      </c>
      <c r="H227" s="8"/>
    </row>
    <row r="228" spans="1:8" ht="16" customHeight="1" x14ac:dyDescent="0.25">
      <c r="A228" s="42">
        <v>224</v>
      </c>
      <c r="B228" s="8" t="str">
        <f>HYPERLINK("https://www.sknclinics.co.uk/clinics/the-midlands/milton-keynes-the-hub","sk:n Milton Keynes The Hub")</f>
        <v>sk:n Milton Keynes The Hub</v>
      </c>
      <c r="C228" s="43" t="s">
        <v>31</v>
      </c>
      <c r="D228" s="43" t="s">
        <v>32</v>
      </c>
      <c r="E228" s="8" t="s">
        <v>1243</v>
      </c>
      <c r="F228" s="44" t="s">
        <v>1331</v>
      </c>
      <c r="G228" s="44" t="s">
        <v>906</v>
      </c>
      <c r="H228" s="8"/>
    </row>
    <row r="229" spans="1:8" ht="16" customHeight="1" x14ac:dyDescent="0.25">
      <c r="A229" s="42">
        <v>225</v>
      </c>
      <c r="B229" s="8" t="str">
        <f>HYPERLINK("https://www.sknclinics.co.uk/clinics/the-north-and-scotland/nantwich-welsh-row","sk:n Nantwich Welsh Row")</f>
        <v>sk:n Nantwich Welsh Row</v>
      </c>
      <c r="C229" s="43" t="s">
        <v>31</v>
      </c>
      <c r="D229" s="43" t="s">
        <v>32</v>
      </c>
      <c r="E229" s="8" t="s">
        <v>1244</v>
      </c>
      <c r="F229" s="44" t="s">
        <v>1331</v>
      </c>
      <c r="G229" s="44" t="s">
        <v>906</v>
      </c>
      <c r="H229" s="8"/>
    </row>
    <row r="230" spans="1:8" ht="16" customHeight="1" x14ac:dyDescent="0.25">
      <c r="A230" s="42">
        <v>226</v>
      </c>
      <c r="B230" s="8" t="str">
        <f>HYPERLINK("https://www.sknclinics.co.uk/clinics/the-north-and-scotland/newcastle-grey-street","sk:n Newcastle Grey Street")</f>
        <v>sk:n Newcastle Grey Street</v>
      </c>
      <c r="C230" s="43" t="s">
        <v>31</v>
      </c>
      <c r="D230" s="43" t="s">
        <v>32</v>
      </c>
      <c r="E230" s="8" t="s">
        <v>1245</v>
      </c>
      <c r="F230" s="44" t="s">
        <v>1331</v>
      </c>
      <c r="G230" s="44" t="s">
        <v>906</v>
      </c>
      <c r="H230" s="8"/>
    </row>
    <row r="231" spans="1:8" ht="16" customHeight="1" x14ac:dyDescent="0.25">
      <c r="A231" s="42">
        <v>227</v>
      </c>
      <c r="B231" s="8" t="str">
        <f>HYPERLINK("https://www.sknclinics.co.uk/clinics/the-midlands/northampton-cheyne-walk","sk:n Northampton Cheyne Walk")</f>
        <v>sk:n Northampton Cheyne Walk</v>
      </c>
      <c r="C231" s="43" t="s">
        <v>31</v>
      </c>
      <c r="D231" s="43" t="s">
        <v>32</v>
      </c>
      <c r="E231" s="8" t="s">
        <v>1246</v>
      </c>
      <c r="F231" s="44" t="s">
        <v>1331</v>
      </c>
      <c r="G231" s="44" t="s">
        <v>906</v>
      </c>
      <c r="H231" s="8"/>
    </row>
    <row r="232" spans="1:8" ht="16" customHeight="1" x14ac:dyDescent="0.25">
      <c r="A232" s="42">
        <v>228</v>
      </c>
      <c r="B232" s="8" t="str">
        <f>HYPERLINK("https://www.sknclinics.co.uk/clinics/the-midlands/norwich-unthank-road","sk:n Norwich Unthank Road")</f>
        <v>sk:n Norwich Unthank Road</v>
      </c>
      <c r="C232" s="43" t="s">
        <v>31</v>
      </c>
      <c r="D232" s="43" t="s">
        <v>32</v>
      </c>
      <c r="E232" s="8" t="s">
        <v>1247</v>
      </c>
      <c r="F232" s="44" t="s">
        <v>1331</v>
      </c>
      <c r="G232" s="44" t="s">
        <v>906</v>
      </c>
      <c r="H232" s="8"/>
    </row>
    <row r="233" spans="1:8" ht="16" customHeight="1" x14ac:dyDescent="0.25">
      <c r="A233" s="42">
        <v>229</v>
      </c>
      <c r="B233" s="8" t="str">
        <f>HYPERLINK("https://www.sknclinics.co.uk/clinics/the-midlands/nottingham-mapperley-park","sk:n Nottingham Mapperley Park")</f>
        <v>sk:n Nottingham Mapperley Park</v>
      </c>
      <c r="C233" s="43" t="s">
        <v>31</v>
      </c>
      <c r="D233" s="43" t="s">
        <v>32</v>
      </c>
      <c r="E233" s="8" t="s">
        <v>1248</v>
      </c>
      <c r="F233" s="44" t="s">
        <v>1331</v>
      </c>
      <c r="G233" s="44" t="s">
        <v>906</v>
      </c>
      <c r="H233" s="8"/>
    </row>
    <row r="234" spans="1:8" ht="16" customHeight="1" x14ac:dyDescent="0.25">
      <c r="A234" s="42">
        <v>230</v>
      </c>
      <c r="B234" s="8" t="str">
        <f>HYPERLINK("https://www.sknclinics.co.uk/clinics/the-south/plymouth-hyde-park","sk:n Plymouth Hyde Park")</f>
        <v>sk:n Plymouth Hyde Park</v>
      </c>
      <c r="C234" s="43" t="s">
        <v>31</v>
      </c>
      <c r="D234" s="43" t="s">
        <v>32</v>
      </c>
      <c r="E234" s="8" t="s">
        <v>1249</v>
      </c>
      <c r="F234" s="44" t="s">
        <v>1331</v>
      </c>
      <c r="G234" s="44" t="s">
        <v>906</v>
      </c>
      <c r="H234" s="8"/>
    </row>
    <row r="235" spans="1:8" ht="16" customHeight="1" x14ac:dyDescent="0.25">
      <c r="A235" s="42">
        <v>231</v>
      </c>
      <c r="B235" s="8" t="str">
        <f>HYPERLINK("https://www.sknclinics.co.uk/clinics/the-south/portsmouth-st-georges-square","sk:n Portsmouth St Georges Square")</f>
        <v>sk:n Portsmouth St Georges Square</v>
      </c>
      <c r="C235" s="43" t="s">
        <v>31</v>
      </c>
      <c r="D235" s="43" t="s">
        <v>32</v>
      </c>
      <c r="E235" s="8" t="s">
        <v>1250</v>
      </c>
      <c r="F235" s="44" t="s">
        <v>1331</v>
      </c>
      <c r="G235" s="44" t="s">
        <v>906</v>
      </c>
      <c r="H235" s="8"/>
    </row>
    <row r="236" spans="1:8" ht="16" customHeight="1" x14ac:dyDescent="0.25">
      <c r="A236" s="42">
        <v>232</v>
      </c>
      <c r="B236" s="8" t="str">
        <f>HYPERLINK("https://www.sknclinics.co.uk/clinics/the-south/reading-london-street","sk:n Reading London Street")</f>
        <v>sk:n Reading London Street</v>
      </c>
      <c r="C236" s="43" t="s">
        <v>31</v>
      </c>
      <c r="D236" s="43" t="s">
        <v>32</v>
      </c>
      <c r="E236" s="8" t="s">
        <v>1251</v>
      </c>
      <c r="F236" s="44" t="s">
        <v>1331</v>
      </c>
      <c r="G236" s="44" t="s">
        <v>906</v>
      </c>
      <c r="H236" s="8"/>
    </row>
    <row r="237" spans="1:8" ht="16" customHeight="1" x14ac:dyDescent="0.25">
      <c r="A237" s="42">
        <v>233</v>
      </c>
      <c r="B237" s="8" t="str">
        <f>HYPERLINK("https://www.sknclinics.co.uk/clinics/the-south/seven-oaks-london-road","sk:n Sevenoaks London Road")</f>
        <v>sk:n Sevenoaks London Road</v>
      </c>
      <c r="C237" s="43" t="s">
        <v>31</v>
      </c>
      <c r="D237" s="43" t="s">
        <v>32</v>
      </c>
      <c r="E237" s="8" t="s">
        <v>1252</v>
      </c>
      <c r="F237" s="44" t="s">
        <v>1331</v>
      </c>
      <c r="G237" s="44" t="s">
        <v>906</v>
      </c>
      <c r="H237" s="8"/>
    </row>
    <row r="238" spans="1:8" ht="16" customHeight="1" x14ac:dyDescent="0.25">
      <c r="A238" s="42">
        <v>234</v>
      </c>
      <c r="B238" s="8" t="str">
        <f>HYPERLINK("https://www.sknclinics.co.uk/clinics/the-north-and-scotland/sheffield-psalter-lane","sk:n Sheffield Psalter Lane")</f>
        <v>sk:n Sheffield Psalter Lane</v>
      </c>
      <c r="C238" s="43" t="s">
        <v>31</v>
      </c>
      <c r="D238" s="43" t="s">
        <v>32</v>
      </c>
      <c r="E238" s="8" t="s">
        <v>1253</v>
      </c>
      <c r="F238" s="44" t="s">
        <v>1331</v>
      </c>
      <c r="G238" s="44" t="s">
        <v>906</v>
      </c>
      <c r="H238" s="8"/>
    </row>
    <row r="239" spans="1:8" ht="16" customHeight="1" x14ac:dyDescent="0.25">
      <c r="A239" s="42">
        <v>235</v>
      </c>
      <c r="B239" s="8" t="str">
        <f>HYPERLINK("https://www.sknclinics.co.uk/clinics/the-south/southampton-east-street","sk:n Southampton East Street")</f>
        <v>sk:n Southampton East Street</v>
      </c>
      <c r="C239" s="43" t="s">
        <v>31</v>
      </c>
      <c r="D239" s="43" t="s">
        <v>32</v>
      </c>
      <c r="E239" s="8" t="s">
        <v>1254</v>
      </c>
      <c r="F239" s="44" t="s">
        <v>1331</v>
      </c>
      <c r="G239" s="44" t="s">
        <v>906</v>
      </c>
      <c r="H239" s="8"/>
    </row>
    <row r="240" spans="1:8" ht="16" customHeight="1" x14ac:dyDescent="0.25">
      <c r="A240" s="42">
        <v>236</v>
      </c>
      <c r="B240" s="8" t="str">
        <f>HYPERLINK("https://www.sknclinics.co.uk/clinics/the-south/watford-the-avenue","sk:n Watford The Avenue")</f>
        <v>sk:n Watford The Avenue</v>
      </c>
      <c r="C240" s="43" t="s">
        <v>31</v>
      </c>
      <c r="D240" s="43" t="s">
        <v>32</v>
      </c>
      <c r="E240" s="8" t="s">
        <v>1255</v>
      </c>
      <c r="F240" s="44" t="s">
        <v>1331</v>
      </c>
      <c r="G240" s="44" t="s">
        <v>906</v>
      </c>
      <c r="H240" s="8"/>
    </row>
    <row r="241" spans="1:8" ht="16" customHeight="1" x14ac:dyDescent="0.25">
      <c r="A241" s="42">
        <v>237</v>
      </c>
      <c r="B241" s="8" t="str">
        <f>HYPERLINK("https://www.sknclinics.co.uk/clinics/the-south/weybridge-baker-street","sk:n Weybridge Baker Street")</f>
        <v>sk:n Weybridge Baker Street</v>
      </c>
      <c r="C241" s="43" t="s">
        <v>31</v>
      </c>
      <c r="D241" s="43" t="s">
        <v>32</v>
      </c>
      <c r="E241" s="8" t="s">
        <v>1256</v>
      </c>
      <c r="F241" s="44" t="s">
        <v>1331</v>
      </c>
      <c r="G241" s="44" t="s">
        <v>906</v>
      </c>
      <c r="H241" s="8"/>
    </row>
    <row r="242" spans="1:8" ht="16" customHeight="1" x14ac:dyDescent="0.25">
      <c r="A242" s="42">
        <v>238</v>
      </c>
      <c r="B242" s="8" t="str">
        <f>HYPERLINK("https://www.sknclinics.co.uk/clinics/the-north-and-scotland/wilmslow-swan-street","sk:n Wilmslow Swan Street")</f>
        <v>sk:n Wilmslow Swan Street</v>
      </c>
      <c r="C242" s="43" t="s">
        <v>31</v>
      </c>
      <c r="D242" s="43" t="s">
        <v>32</v>
      </c>
      <c r="E242" s="8" t="s">
        <v>1257</v>
      </c>
      <c r="F242" s="44" t="s">
        <v>1331</v>
      </c>
      <c r="G242" s="44" t="s">
        <v>906</v>
      </c>
      <c r="H242" s="8"/>
    </row>
    <row r="243" spans="1:8" ht="16" customHeight="1" x14ac:dyDescent="0.25">
      <c r="A243" s="42">
        <v>239</v>
      </c>
      <c r="B243" s="8" t="str">
        <f>HYPERLINK("https://www.sknclinics.co.uk/clinics/the-south/windsor-peascod-street","sk:n Windsor Peascod Street")</f>
        <v>sk:n Windsor Peascod Street</v>
      </c>
      <c r="C243" s="43" t="s">
        <v>31</v>
      </c>
      <c r="D243" s="43" t="s">
        <v>32</v>
      </c>
      <c r="E243" s="8" t="s">
        <v>1258</v>
      </c>
      <c r="F243" s="44" t="s">
        <v>1331</v>
      </c>
      <c r="G243" s="44" t="s">
        <v>906</v>
      </c>
      <c r="H243" s="8"/>
    </row>
    <row r="244" spans="1:8" ht="16" customHeight="1" x14ac:dyDescent="0.25">
      <c r="A244" s="42">
        <v>240</v>
      </c>
      <c r="B244" s="8" t="str">
        <f>HYPERLINK("https://www.sknclinics.co.uk/clinics/the-midlands/wolverhampton-compton-road","sk:n Wolverhampton Compton Road")</f>
        <v>sk:n Wolverhampton Compton Road</v>
      </c>
      <c r="C244" s="43" t="s">
        <v>31</v>
      </c>
      <c r="D244" s="43" t="s">
        <v>32</v>
      </c>
      <c r="E244" s="8" t="s">
        <v>1259</v>
      </c>
      <c r="F244" s="44" t="s">
        <v>1331</v>
      </c>
      <c r="G244" s="44" t="s">
        <v>906</v>
      </c>
      <c r="H244" s="8"/>
    </row>
    <row r="245" spans="1:8" ht="16" customHeight="1" x14ac:dyDescent="0.25">
      <c r="A245" s="42">
        <v>241</v>
      </c>
      <c r="B245" s="8" t="str">
        <f>HYPERLINK("https://www.skincarenetwork.co.uk/dermatology/","Skin Care Network")</f>
        <v>Skin Care Network</v>
      </c>
      <c r="C245" s="43" t="s">
        <v>31</v>
      </c>
      <c r="D245" s="43" t="s">
        <v>32</v>
      </c>
      <c r="E245" s="8" t="s">
        <v>1260</v>
      </c>
      <c r="F245" s="44" t="s">
        <v>1331</v>
      </c>
      <c r="G245" s="44" t="s">
        <v>906</v>
      </c>
      <c r="H245" s="8"/>
    </row>
    <row r="246" spans="1:8" ht="16" customHeight="1" x14ac:dyDescent="0.25">
      <c r="A246" s="42">
        <v>242</v>
      </c>
      <c r="B246" s="8" t="str">
        <f>HYPERLINK("https://108harleystreet.co.uk/clinics/skin/skin-clinic-team/","Skin Clinic of 108 Harley Street")</f>
        <v>Skin Clinic of 108 Harley Street</v>
      </c>
      <c r="C246" s="43" t="s">
        <v>31</v>
      </c>
      <c r="D246" s="43" t="s">
        <v>32</v>
      </c>
      <c r="E246" s="8" t="s">
        <v>1261</v>
      </c>
      <c r="F246" s="44" t="s">
        <v>1331</v>
      </c>
      <c r="G246" s="44" t="s">
        <v>904</v>
      </c>
      <c r="H246" s="8"/>
    </row>
    <row r="247" spans="1:8" ht="16" customHeight="1" x14ac:dyDescent="0.25">
      <c r="A247" s="42">
        <v>243</v>
      </c>
      <c r="B247" s="8" t="str">
        <f>HYPERLINK("https://skininspection.co.uk/general-dermatology/","Skin Inspection")</f>
        <v>Skin Inspection</v>
      </c>
      <c r="C247" s="43" t="s">
        <v>31</v>
      </c>
      <c r="D247" s="43" t="s">
        <v>32</v>
      </c>
      <c r="E247" s="8" t="s">
        <v>1317</v>
      </c>
      <c r="F247" s="44" t="s">
        <v>1331</v>
      </c>
      <c r="G247" s="44" t="s">
        <v>906</v>
      </c>
      <c r="H247" s="8"/>
    </row>
    <row r="248" spans="1:8" ht="16" customHeight="1" x14ac:dyDescent="0.25">
      <c r="A248" s="42">
        <v>244</v>
      </c>
      <c r="B248" s="8" t="str">
        <f>HYPERLINK("https://skinsurgeryclinic.co.uk/","Skin Surgery Clinic")</f>
        <v>Skin Surgery Clinic</v>
      </c>
      <c r="C248" s="43" t="s">
        <v>31</v>
      </c>
      <c r="D248" s="43" t="s">
        <v>32</v>
      </c>
      <c r="E248" s="8" t="s">
        <v>1262</v>
      </c>
      <c r="F248" s="44" t="s">
        <v>1331</v>
      </c>
      <c r="G248" s="44" t="s">
        <v>904</v>
      </c>
      <c r="H248" s="8"/>
    </row>
    <row r="249" spans="1:8" ht="16" customHeight="1" x14ac:dyDescent="0.25">
      <c r="A249" s="42">
        <v>245</v>
      </c>
      <c r="B249" s="8" t="str">
        <f>HYPERLINK("https://www.skin55.co.uk/","Skin55 Limited")</f>
        <v>Skin55 Limited</v>
      </c>
      <c r="C249" s="43" t="s">
        <v>31</v>
      </c>
      <c r="D249" s="43" t="s">
        <v>32</v>
      </c>
      <c r="E249" s="8" t="s">
        <v>1263</v>
      </c>
      <c r="F249" s="44" t="s">
        <v>1331</v>
      </c>
      <c r="G249" s="44" t="s">
        <v>906</v>
      </c>
      <c r="H249" s="8"/>
    </row>
    <row r="250" spans="1:8" ht="16" customHeight="1" x14ac:dyDescent="0.25">
      <c r="A250" s="42">
        <v>246</v>
      </c>
      <c r="B250" s="8" t="str">
        <f>HYPERLINK("https://www.southwestdermatology.co.uk/skin-treatments/","South West Dermatology")</f>
        <v>South West Dermatology</v>
      </c>
      <c r="C250" s="43" t="s">
        <v>31</v>
      </c>
      <c r="D250" s="43" t="s">
        <v>32</v>
      </c>
      <c r="E250" s="8" t="s">
        <v>1329</v>
      </c>
      <c r="F250" s="44" t="s">
        <v>1331</v>
      </c>
      <c r="G250" s="44" t="s">
        <v>906</v>
      </c>
      <c r="H250" s="8"/>
    </row>
    <row r="251" spans="1:8" ht="16" customHeight="1" x14ac:dyDescent="0.25">
      <c r="A251" s="42">
        <v>247</v>
      </c>
      <c r="B251" s="8" t="str">
        <f>HYPERLINK("https://www.stmichaelsclinic.co.uk/dermatology/","St. Michael's Clinic")</f>
        <v>St. Michael's Clinic</v>
      </c>
      <c r="C251" s="43" t="s">
        <v>31</v>
      </c>
      <c r="D251" s="43" t="s">
        <v>32</v>
      </c>
      <c r="E251" s="8" t="s">
        <v>1264</v>
      </c>
      <c r="F251" s="44" t="s">
        <v>1331</v>
      </c>
      <c r="G251" s="44" t="s">
        <v>906</v>
      </c>
      <c r="H251" s="8"/>
    </row>
    <row r="252" spans="1:8" ht="16" customHeight="1" x14ac:dyDescent="0.25">
      <c r="A252" s="42">
        <v>248</v>
      </c>
      <c r="B252" s="8" t="str">
        <f>HYPERLINK("https://www.stratumclinics.com/our-clinics/wimbledonandraynespark/","Stratum Dermatology Clinics Wimbledon and Raynes Park")</f>
        <v>Stratum Dermatology Clinics Wimbledon and Raynes Park</v>
      </c>
      <c r="C252" s="43" t="s">
        <v>31</v>
      </c>
      <c r="D252" s="43" t="s">
        <v>32</v>
      </c>
      <c r="E252" s="8" t="s">
        <v>1323</v>
      </c>
      <c r="F252" s="44" t="s">
        <v>1331</v>
      </c>
      <c r="G252" s="44" t="s">
        <v>906</v>
      </c>
      <c r="H252" s="8"/>
    </row>
    <row r="253" spans="1:8" ht="16" customHeight="1" x14ac:dyDescent="0.25">
      <c r="A253" s="42">
        <v>249</v>
      </c>
      <c r="B253" s="8" t="str">
        <f>HYPERLINK("https://thedermatologyclinic.london/","The Dermatology Clinic London")</f>
        <v>The Dermatology Clinic London</v>
      </c>
      <c r="C253" s="43" t="s">
        <v>31</v>
      </c>
      <c r="D253" s="43" t="s">
        <v>32</v>
      </c>
      <c r="E253" s="8" t="s">
        <v>1265</v>
      </c>
      <c r="F253" s="44" t="s">
        <v>1331</v>
      </c>
      <c r="G253" s="44" t="s">
        <v>906</v>
      </c>
      <c r="H253" s="8"/>
    </row>
    <row r="254" spans="1:8" ht="16" customHeight="1" x14ac:dyDescent="0.25">
      <c r="A254" s="42">
        <v>250</v>
      </c>
      <c r="B254" s="8" t="str">
        <f>HYPERLINK("https://thedevonshireclinic.co.uk/dermatologists-in-london/","The Devonshire Clinic")</f>
        <v>The Devonshire Clinic</v>
      </c>
      <c r="C254" s="43" t="s">
        <v>31</v>
      </c>
      <c r="D254" s="43" t="s">
        <v>32</v>
      </c>
      <c r="E254" s="8" t="s">
        <v>1266</v>
      </c>
      <c r="F254" s="44" t="s">
        <v>1331</v>
      </c>
      <c r="G254" s="44" t="s">
        <v>906</v>
      </c>
      <c r="H254" s="8"/>
    </row>
    <row r="255" spans="1:8" ht="16" customHeight="1" x14ac:dyDescent="0.25">
      <c r="A255" s="42">
        <v>251</v>
      </c>
      <c r="B255" s="8" t="str">
        <f>HYPERLINK("https://www.london-dermatology-centre.co.uk/","The London Dermatology Centre")</f>
        <v>The London Dermatology Centre</v>
      </c>
      <c r="C255" s="43" t="s">
        <v>31</v>
      </c>
      <c r="D255" s="43" t="s">
        <v>32</v>
      </c>
      <c r="E255" s="8" t="s">
        <v>1318</v>
      </c>
      <c r="F255" s="44" t="s">
        <v>1331</v>
      </c>
      <c r="G255" s="44" t="s">
        <v>906</v>
      </c>
      <c r="H255" s="8"/>
    </row>
    <row r="256" spans="1:8" ht="16" customHeight="1" x14ac:dyDescent="0.25">
      <c r="A256" s="42">
        <v>252</v>
      </c>
      <c r="B256" s="8" t="str">
        <f>HYPERLINK("https://www.thelondonskinandhairclinic.com/find-a-dermatologist/","The London Skin and Hair Clinic")</f>
        <v>The London Skin and Hair Clinic</v>
      </c>
      <c r="C256" s="43" t="s">
        <v>31</v>
      </c>
      <c r="D256" s="43" t="s">
        <v>32</v>
      </c>
      <c r="E256" s="8" t="s">
        <v>1267</v>
      </c>
      <c r="F256" s="44" t="s">
        <v>1331</v>
      </c>
      <c r="G256" s="44" t="s">
        <v>904</v>
      </c>
      <c r="H256" s="8"/>
    </row>
    <row r="257" spans="1:8" ht="16" customHeight="1" x14ac:dyDescent="0.25">
      <c r="A257" s="42">
        <v>253</v>
      </c>
      <c r="B257" s="8" t="str">
        <f>HYPERLINK("https://www.westbournecentre.com/treatments/dermatology","The Westbourne Centre")</f>
        <v>The Westbourne Centre</v>
      </c>
      <c r="C257" s="43" t="s">
        <v>31</v>
      </c>
      <c r="D257" s="43" t="s">
        <v>32</v>
      </c>
      <c r="E257" s="8" t="s">
        <v>1268</v>
      </c>
      <c r="F257" s="44" t="s">
        <v>1331</v>
      </c>
      <c r="G257" s="44" t="s">
        <v>904</v>
      </c>
      <c r="H257" s="8"/>
    </row>
    <row r="258" spans="1:8" ht="16" customHeight="1" x14ac:dyDescent="0.25">
      <c r="A258" s="42">
        <v>254</v>
      </c>
      <c r="B258" s="8" t="str">
        <f>HYPERLINK("https://www.baggotstreetdermatology.ie/","Baggot Street Dermatology")</f>
        <v>Baggot Street Dermatology</v>
      </c>
      <c r="C258" s="43" t="s">
        <v>31</v>
      </c>
      <c r="D258" s="43" t="s">
        <v>137</v>
      </c>
      <c r="E258" s="8" t="s">
        <v>1297</v>
      </c>
      <c r="F258" s="44" t="s">
        <v>1331</v>
      </c>
      <c r="G258" s="44" t="s">
        <v>906</v>
      </c>
      <c r="H258" s="8"/>
    </row>
    <row r="259" spans="1:8" ht="16" customHeight="1" x14ac:dyDescent="0.25">
      <c r="A259" s="42">
        <v>255</v>
      </c>
      <c r="B259" s="8" t="str">
        <f>HYPERLINK("https://www.dermatologycork.ie/about-dermatology-cork","Carrigtwohill Dermatology Clinic")</f>
        <v>Carrigtwohill Dermatology Clinic</v>
      </c>
      <c r="C259" s="43" t="s">
        <v>31</v>
      </c>
      <c r="D259" s="43" t="s">
        <v>137</v>
      </c>
      <c r="E259" s="8" t="s">
        <v>1298</v>
      </c>
      <c r="F259" s="44" t="s">
        <v>1331</v>
      </c>
      <c r="G259" s="44" t="s">
        <v>906</v>
      </c>
      <c r="H259" s="8"/>
    </row>
    <row r="260" spans="1:8" ht="16" customHeight="1" x14ac:dyDescent="0.25">
      <c r="A260" s="42">
        <v>256</v>
      </c>
      <c r="B260" s="8" t="str">
        <f>HYPERLINK("http://www.beaumont.ie/dermatology","Dermatology Department, Beaumont Hospital")</f>
        <v>Dermatology Department, Beaumont Hospital</v>
      </c>
      <c r="C260" s="43" t="s">
        <v>31</v>
      </c>
      <c r="D260" s="43" t="s">
        <v>137</v>
      </c>
      <c r="E260" s="8" t="s">
        <v>1299</v>
      </c>
      <c r="F260" s="44" t="s">
        <v>1331</v>
      </c>
      <c r="G260" s="44" t="s">
        <v>906</v>
      </c>
      <c r="H260" s="8"/>
    </row>
    <row r="261" spans="1:8" ht="16" customHeight="1" x14ac:dyDescent="0.25">
      <c r="A261" s="42">
        <v>257</v>
      </c>
      <c r="B261" s="8" t="str">
        <f>HYPERLINK("https://www.stjames.ie/services/med/dermatology/","Dermatology Department, St James's Hospital")</f>
        <v>Dermatology Department, St James's Hospital</v>
      </c>
      <c r="C261" s="43" t="s">
        <v>31</v>
      </c>
      <c r="D261" s="43" t="s">
        <v>137</v>
      </c>
      <c r="E261" s="8" t="s">
        <v>1300</v>
      </c>
      <c r="F261" s="44" t="s">
        <v>1331</v>
      </c>
      <c r="G261" s="44" t="s">
        <v>906</v>
      </c>
      <c r="H261" s="8"/>
    </row>
    <row r="262" spans="1:8" ht="16" customHeight="1" x14ac:dyDescent="0.25">
      <c r="A262" s="42">
        <v>258</v>
      </c>
      <c r="B262" s="8" t="str">
        <f>HYPERLINK("https://www.aungierclinic.ie/dermatology-acne-treatment/","Dermatology Service, Aungier Street Clinic")</f>
        <v>Dermatology Service, Aungier Street Clinic</v>
      </c>
      <c r="C262" s="43" t="s">
        <v>31</v>
      </c>
      <c r="D262" s="43" t="s">
        <v>137</v>
      </c>
      <c r="E262" s="8" t="s">
        <v>1301</v>
      </c>
      <c r="F262" s="44" t="s">
        <v>1331</v>
      </c>
      <c r="G262" s="44" t="s">
        <v>197</v>
      </c>
      <c r="H262" s="8"/>
    </row>
    <row r="263" spans="1:8" ht="16" customHeight="1" x14ac:dyDescent="0.25">
      <c r="A263" s="42">
        <v>259</v>
      </c>
      <c r="B263" s="8" t="str">
        <f>HYPERLINK("https://www.beaconconsultantsclinic.com/practices-and-departments/dermatology/","Dermatology Service, Beacon Consultants Clinic")</f>
        <v>Dermatology Service, Beacon Consultants Clinic</v>
      </c>
      <c r="C263" s="43" t="s">
        <v>31</v>
      </c>
      <c r="D263" s="43" t="s">
        <v>137</v>
      </c>
      <c r="E263" s="8" t="s">
        <v>1302</v>
      </c>
      <c r="F263" s="44" t="s">
        <v>1331</v>
      </c>
      <c r="G263" s="44" t="s">
        <v>906</v>
      </c>
      <c r="H263" s="8"/>
    </row>
    <row r="264" spans="1:8" ht="16" customHeight="1" x14ac:dyDescent="0.25">
      <c r="A264" s="42">
        <v>260</v>
      </c>
      <c r="B264" s="8" t="str">
        <f>HYPERLINK("https://www.beaconhospital.ie/department-service/dermatology/","Dermatology Service, Beacon Hospital")</f>
        <v>Dermatology Service, Beacon Hospital</v>
      </c>
      <c r="C264" s="43" t="s">
        <v>31</v>
      </c>
      <c r="D264" s="43" t="s">
        <v>137</v>
      </c>
      <c r="E264" s="8" t="s">
        <v>1303</v>
      </c>
      <c r="F264" s="44" t="s">
        <v>1331</v>
      </c>
      <c r="G264" s="44" t="s">
        <v>904</v>
      </c>
      <c r="H264" s="8"/>
    </row>
    <row r="265" spans="1:8" ht="16" customHeight="1" x14ac:dyDescent="0.25">
      <c r="A265" s="42">
        <v>261</v>
      </c>
      <c r="B265" s="8" t="str">
        <f>HYPERLINK("https://www.blackrockhealth.com/treatments-procedures/dermatology","Dermatology Service, Blackrock Clinic")</f>
        <v>Dermatology Service, Blackrock Clinic</v>
      </c>
      <c r="C265" s="43" t="s">
        <v>31</v>
      </c>
      <c r="D265" s="43" t="s">
        <v>137</v>
      </c>
      <c r="E265" s="8" t="s">
        <v>1304</v>
      </c>
      <c r="F265" s="44" t="s">
        <v>1331</v>
      </c>
      <c r="G265" s="44" t="s">
        <v>906</v>
      </c>
      <c r="H265" s="8"/>
    </row>
    <row r="266" spans="1:8" ht="16" customHeight="1" x14ac:dyDescent="0.25">
      <c r="A266" s="42">
        <v>262</v>
      </c>
      <c r="B266" s="8" t="str">
        <f>HYPERLINK("https://www.bonsecours.ie/dublin/departments/dermatology1","Dermatology Service, Bon Secours Hospital Dublin")</f>
        <v>Dermatology Service, Bon Secours Hospital Dublin</v>
      </c>
      <c r="C266" s="43" t="s">
        <v>31</v>
      </c>
      <c r="D266" s="43" t="s">
        <v>137</v>
      </c>
      <c r="E266" s="8" t="s">
        <v>1305</v>
      </c>
      <c r="F266" s="44" t="s">
        <v>1331</v>
      </c>
      <c r="G266" s="44" t="s">
        <v>906</v>
      </c>
      <c r="H266" s="8"/>
    </row>
    <row r="267" spans="1:8" ht="16" customHeight="1" x14ac:dyDescent="0.25">
      <c r="A267" s="42">
        <v>263</v>
      </c>
      <c r="B267" s="8" t="str">
        <f>HYPERLINK("https://www.blackrockhealth.com/treatments-procedures/dermatology","Dermatology Service, Galway Clinic")</f>
        <v>Dermatology Service, Galway Clinic</v>
      </c>
      <c r="C267" s="43" t="s">
        <v>31</v>
      </c>
      <c r="D267" s="43" t="s">
        <v>137</v>
      </c>
      <c r="E267" s="8" t="s">
        <v>1304</v>
      </c>
      <c r="F267" s="44" t="s">
        <v>1331</v>
      </c>
      <c r="G267" s="44" t="s">
        <v>906</v>
      </c>
      <c r="H267" s="8"/>
    </row>
    <row r="268" spans="1:8" ht="16" customHeight="1" x14ac:dyDescent="0.25">
      <c r="A268" s="42">
        <v>264</v>
      </c>
      <c r="B268" s="8" t="str">
        <f>HYPERLINK("https://www.blackrockhealth.com/treatments-procedures/dermatology","Dermatology Service, Hermitage Clinic")</f>
        <v>Dermatology Service, Hermitage Clinic</v>
      </c>
      <c r="C268" s="43" t="s">
        <v>31</v>
      </c>
      <c r="D268" s="43" t="s">
        <v>137</v>
      </c>
      <c r="E268" s="8" t="s">
        <v>1304</v>
      </c>
      <c r="F268" s="44" t="s">
        <v>1331</v>
      </c>
      <c r="G268" s="44" t="s">
        <v>906</v>
      </c>
      <c r="H268" s="8"/>
    </row>
    <row r="269" spans="1:8" ht="16" customHeight="1" x14ac:dyDescent="0.25">
      <c r="A269" s="42">
        <v>265</v>
      </c>
      <c r="B269" s="8" t="str">
        <f>HYPERLINK("https://www.mater.ie/services/dermatology/","Dermatology Service, Mater Misericordiae University Hospital")</f>
        <v>Dermatology Service, Mater Misericordiae University Hospital</v>
      </c>
      <c r="C269" s="43" t="s">
        <v>31</v>
      </c>
      <c r="D269" s="43" t="s">
        <v>137</v>
      </c>
      <c r="E269" s="8" t="s">
        <v>1306</v>
      </c>
      <c r="F269" s="44" t="s">
        <v>1331</v>
      </c>
      <c r="G269" s="44" t="s">
        <v>906</v>
      </c>
      <c r="H269" s="8"/>
    </row>
    <row r="270" spans="1:8" ht="16" customHeight="1" x14ac:dyDescent="0.25">
      <c r="A270" s="42">
        <v>266</v>
      </c>
      <c r="B270" s="8" t="str">
        <f>HYPERLINK("https://www.materprivate.ie/our-services/dermatology","Dermatology Service, Mater Private Network")</f>
        <v>Dermatology Service, Mater Private Network</v>
      </c>
      <c r="C270" s="43" t="s">
        <v>31</v>
      </c>
      <c r="D270" s="43" t="s">
        <v>137</v>
      </c>
      <c r="E270" s="8" t="s">
        <v>1307</v>
      </c>
      <c r="F270" s="44" t="s">
        <v>1331</v>
      </c>
      <c r="G270" s="44" t="s">
        <v>906</v>
      </c>
      <c r="H270" s="8"/>
    </row>
    <row r="271" spans="1:8" ht="16" customHeight="1" x14ac:dyDescent="0.25">
      <c r="A271" s="42">
        <v>267</v>
      </c>
      <c r="B271" s="8" t="str">
        <f>HYPERLINK("https://www.stvincents.ie/clinics/dermatology-clinic/","Dermatology Service, St. Vincent’s University Hospital")</f>
        <v>Dermatology Service, St. Vincent’s University Hospital</v>
      </c>
      <c r="C271" s="43" t="s">
        <v>31</v>
      </c>
      <c r="D271" s="43" t="s">
        <v>137</v>
      </c>
      <c r="E271" s="8" t="s">
        <v>1308</v>
      </c>
      <c r="F271" s="44" t="s">
        <v>1331</v>
      </c>
      <c r="G271" s="44" t="s">
        <v>904</v>
      </c>
      <c r="H271" s="8"/>
    </row>
    <row r="272" spans="1:8" ht="16" customHeight="1" x14ac:dyDescent="0.25">
      <c r="A272" s="42">
        <v>268</v>
      </c>
      <c r="B272" s="8" t="str">
        <f>HYPERLINK("https://www.edenparkmedical.ie/skin-clinic","Edenpark Medical Skin Clinic")</f>
        <v>Edenpark Medical Skin Clinic</v>
      </c>
      <c r="C272" s="43" t="s">
        <v>31</v>
      </c>
      <c r="D272" s="43" t="s">
        <v>137</v>
      </c>
      <c r="E272" s="8" t="s">
        <v>1309</v>
      </c>
      <c r="F272" s="44" t="s">
        <v>1331</v>
      </c>
      <c r="G272" s="44" t="s">
        <v>906</v>
      </c>
      <c r="H272" s="8"/>
    </row>
    <row r="273" spans="1:8" ht="16" customHeight="1" x14ac:dyDescent="0.25">
      <c r="A273" s="42">
        <v>269</v>
      </c>
      <c r="B273" s="8" t="str">
        <f>HYPERLINK("https://www.geraldinemorrow.com/adult-dermatology-services","Geraldine Morrow Dermatology, Northbrook Clinic")</f>
        <v>Geraldine Morrow Dermatology, Northbrook Clinic</v>
      </c>
      <c r="C273" s="43" t="s">
        <v>31</v>
      </c>
      <c r="D273" s="43" t="s">
        <v>137</v>
      </c>
      <c r="E273" s="8" t="s">
        <v>1310</v>
      </c>
      <c r="F273" s="44" t="s">
        <v>1331</v>
      </c>
      <c r="G273" s="44" t="s">
        <v>197</v>
      </c>
      <c r="H273" s="8"/>
    </row>
    <row r="274" spans="1:8" ht="16" customHeight="1" x14ac:dyDescent="0.25">
      <c r="A274" s="42">
        <v>270</v>
      </c>
      <c r="B274" s="8" t="str">
        <f>HYPERLINK("https://www.kerryskinclinic.ie/","Kerry Skin Clinic")</f>
        <v>Kerry Skin Clinic</v>
      </c>
      <c r="C274" s="43" t="s">
        <v>31</v>
      </c>
      <c r="D274" s="43" t="s">
        <v>137</v>
      </c>
      <c r="E274" s="8" t="s">
        <v>1311</v>
      </c>
      <c r="F274" s="44" t="s">
        <v>1331</v>
      </c>
      <c r="G274" s="44" t="s">
        <v>906</v>
      </c>
      <c r="H274" s="8"/>
    </row>
    <row r="275" spans="1:8" ht="16" customHeight="1" x14ac:dyDescent="0.25">
      <c r="A275" s="42">
        <v>271</v>
      </c>
      <c r="B275" s="8" t="str">
        <f>HYPERLINK("https://www.leeclinicdermatology.ie/dermatology-cork/common-skin-conditions","Lee Clinic Dermatology")</f>
        <v>Lee Clinic Dermatology</v>
      </c>
      <c r="C275" s="43" t="s">
        <v>31</v>
      </c>
      <c r="D275" s="43" t="s">
        <v>137</v>
      </c>
      <c r="E275" s="8" t="s">
        <v>1312</v>
      </c>
      <c r="F275" s="44" t="s">
        <v>1331</v>
      </c>
      <c r="G275" s="44" t="s">
        <v>906</v>
      </c>
      <c r="H275" s="8"/>
    </row>
    <row r="276" spans="1:8" ht="16" customHeight="1" x14ac:dyDescent="0.25">
      <c r="A276" s="42">
        <v>272</v>
      </c>
      <c r="B276" s="8" t="str">
        <f>HYPERLINK("https://www.theadareclinic.ie/","The Adare Clinic")</f>
        <v>The Adare Clinic</v>
      </c>
      <c r="C276" s="43" t="s">
        <v>31</v>
      </c>
      <c r="D276" s="43" t="s">
        <v>137</v>
      </c>
      <c r="E276" s="8" t="s">
        <v>1313</v>
      </c>
      <c r="F276" s="44" t="s">
        <v>1331</v>
      </c>
      <c r="G276" s="44" t="s">
        <v>906</v>
      </c>
      <c r="H276" s="8"/>
    </row>
    <row r="277" spans="1:8" ht="16" customHeight="1" x14ac:dyDescent="0.25">
      <c r="A277" s="42">
        <v>273</v>
      </c>
      <c r="B277" s="8" t="str">
        <f>HYPERLINK("https://upmc.ie/services/dermatology","University of Pittsburgh Medical Center (UPMC) Ireland")</f>
        <v>University of Pittsburgh Medical Center (UPMC) Ireland</v>
      </c>
      <c r="C277" s="43" t="s">
        <v>31</v>
      </c>
      <c r="D277" s="43" t="s">
        <v>137</v>
      </c>
      <c r="E277" s="8" t="s">
        <v>1314</v>
      </c>
      <c r="F277" s="44" t="s">
        <v>1331</v>
      </c>
      <c r="G277" s="44" t="s">
        <v>906</v>
      </c>
      <c r="H277" s="8"/>
    </row>
    <row r="278" spans="1:8" ht="16" customHeight="1" x14ac:dyDescent="0.25">
      <c r="A278" s="42">
        <v>274</v>
      </c>
      <c r="B278" s="8" t="str">
        <f>HYPERLINK("http://claroskinclinic.co.uk/index.html","Claro Skin Clinic")</f>
        <v>Claro Skin Clinic</v>
      </c>
      <c r="C278" s="43" t="s">
        <v>31</v>
      </c>
      <c r="D278" s="43" t="s">
        <v>68</v>
      </c>
      <c r="E278" s="8" t="s">
        <v>1269</v>
      </c>
      <c r="F278" s="44" t="s">
        <v>1331</v>
      </c>
      <c r="G278" s="44" t="s">
        <v>906</v>
      </c>
      <c r="H278" s="8"/>
    </row>
    <row r="279" spans="1:8" ht="16" customHeight="1" x14ac:dyDescent="0.25">
      <c r="A279" s="42">
        <v>275</v>
      </c>
      <c r="B279" s="8" t="str">
        <f>HYPERLINK("https://kingsbridgeprivatehospital.com/belfast/treatments-surgeries/outpatient-clinics/specialist-clinics/dermatology-clinic/","Dermatology Service, Kingsbridge Private Hospital")</f>
        <v>Dermatology Service, Kingsbridge Private Hospital</v>
      </c>
      <c r="C279" s="43" t="s">
        <v>31</v>
      </c>
      <c r="D279" s="43" t="s">
        <v>68</v>
      </c>
      <c r="E279" s="8" t="s">
        <v>1270</v>
      </c>
      <c r="F279" s="44" t="s">
        <v>1331</v>
      </c>
      <c r="G279" s="44" t="s">
        <v>904</v>
      </c>
      <c r="H279" s="8"/>
    </row>
    <row r="280" spans="1:8" ht="16" customHeight="1" x14ac:dyDescent="0.25">
      <c r="A280" s="42">
        <v>276</v>
      </c>
      <c r="B280" s="8" t="str">
        <f>HYPERLINK("https://www.hillsboroughprivateclinic.com/treatments/dermatology/","Hillsborough Private Clinic")</f>
        <v>Hillsborough Private Clinic</v>
      </c>
      <c r="C280" s="43" t="s">
        <v>31</v>
      </c>
      <c r="D280" s="43" t="s">
        <v>68</v>
      </c>
      <c r="E280" s="8" t="s">
        <v>1271</v>
      </c>
      <c r="F280" s="44" t="s">
        <v>1331</v>
      </c>
      <c r="G280" s="44" t="s">
        <v>904</v>
      </c>
      <c r="H280" s="8"/>
    </row>
    <row r="281" spans="1:8" ht="16" customHeight="1" x14ac:dyDescent="0.25">
      <c r="A281" s="42">
        <v>277</v>
      </c>
      <c r="B281" s="8" t="str">
        <f>HYPERLINK("https://ulsterindependentclinic.com/Specialism/dermatology/","The Ulster Independent Clinic")</f>
        <v>The Ulster Independent Clinic</v>
      </c>
      <c r="C281" s="43" t="s">
        <v>31</v>
      </c>
      <c r="D281" s="43" t="s">
        <v>68</v>
      </c>
      <c r="E281" s="8" t="s">
        <v>1272</v>
      </c>
      <c r="F281" s="44" t="s">
        <v>1331</v>
      </c>
      <c r="G281" s="44" t="s">
        <v>904</v>
      </c>
      <c r="H281" s="8"/>
    </row>
    <row r="282" spans="1:8" ht="16" customHeight="1" x14ac:dyDescent="0.25">
      <c r="A282" s="42">
        <v>278</v>
      </c>
      <c r="B282" s="8" t="str">
        <f>HYPERLINK("https://www.circlehealthgroup.co.uk/hospitals/albyn-hospital/private-dermatology-aberdeen","Dermatology Service, Albyn Hospital")</f>
        <v>Dermatology Service, Albyn Hospital</v>
      </c>
      <c r="C282" s="43" t="s">
        <v>31</v>
      </c>
      <c r="D282" s="43" t="s">
        <v>33</v>
      </c>
      <c r="E282" s="8" t="s">
        <v>1273</v>
      </c>
      <c r="F282" s="44" t="s">
        <v>1331</v>
      </c>
      <c r="G282" s="44" t="s">
        <v>906</v>
      </c>
      <c r="H282" s="8"/>
    </row>
    <row r="283" spans="1:8" ht="16" customHeight="1" x14ac:dyDescent="0.25">
      <c r="A283" s="42">
        <v>279</v>
      </c>
      <c r="B283" s="8" t="str">
        <f>HYPERLINK("https://www.nuffieldhealth.com/hospitals/glasgow/treatments?category=dermatology#filters","Dermatology Service, Glasgow Hospital")</f>
        <v>Dermatology Service, Glasgow Hospital</v>
      </c>
      <c r="C283" s="43" t="s">
        <v>31</v>
      </c>
      <c r="D283" s="43" t="s">
        <v>33</v>
      </c>
      <c r="E283" s="8" t="s">
        <v>1274</v>
      </c>
      <c r="F283" s="44" t="s">
        <v>1331</v>
      </c>
      <c r="G283" s="44" t="s">
        <v>904</v>
      </c>
      <c r="H283" s="8"/>
    </row>
    <row r="284" spans="1:8" ht="16" customHeight="1" x14ac:dyDescent="0.25">
      <c r="A284" s="42">
        <v>280</v>
      </c>
      <c r="B284" s="8" t="str">
        <f>HYPERLINK("https://www.circlehealthgroup.co.uk/hospitals/kings-park-hospital/dermatology","Dermatology Service, Kings Park Hospital")</f>
        <v>Dermatology Service, Kings Park Hospital</v>
      </c>
      <c r="C284" s="43" t="s">
        <v>31</v>
      </c>
      <c r="D284" s="43" t="s">
        <v>33</v>
      </c>
      <c r="E284" s="8" t="s">
        <v>1275</v>
      </c>
      <c r="F284" s="44" t="s">
        <v>1331</v>
      </c>
      <c r="G284" s="44" t="s">
        <v>906</v>
      </c>
      <c r="H284" s="8"/>
    </row>
    <row r="285" spans="1:8" ht="16" customHeight="1" x14ac:dyDescent="0.25">
      <c r="A285" s="42">
        <v>281</v>
      </c>
      <c r="B285" s="8" t="str">
        <f>HYPERLINK("https://rocprivateclinic.com/services/dermatology-and-mole-mapping/","Dermatology Service, Roc Private Clinic")</f>
        <v>Dermatology Service, Roc Private Clinic</v>
      </c>
      <c r="C285" s="43" t="s">
        <v>31</v>
      </c>
      <c r="D285" s="43" t="s">
        <v>33</v>
      </c>
      <c r="E285" s="8" t="s">
        <v>1276</v>
      </c>
      <c r="F285" s="44" t="s">
        <v>1331</v>
      </c>
      <c r="G285" s="44" t="s">
        <v>906</v>
      </c>
      <c r="H285" s="8"/>
    </row>
    <row r="286" spans="1:8" ht="16" customHeight="1" x14ac:dyDescent="0.25">
      <c r="A286" s="42">
        <v>282</v>
      </c>
      <c r="B286" s="8" t="str">
        <f>HYPERLINK("https://www.circlehealthgroup.co.uk/hospitals/ross-hall-clinic-braehead/private-dermatology-glasgow","Dermatology Service, Ross Hall Clinic Braehead")</f>
        <v>Dermatology Service, Ross Hall Clinic Braehead</v>
      </c>
      <c r="C286" s="43" t="s">
        <v>31</v>
      </c>
      <c r="D286" s="43" t="s">
        <v>33</v>
      </c>
      <c r="E286" s="8" t="s">
        <v>1277</v>
      </c>
      <c r="F286" s="44" t="s">
        <v>1331</v>
      </c>
      <c r="G286" s="44" t="s">
        <v>906</v>
      </c>
      <c r="H286" s="8"/>
    </row>
    <row r="287" spans="1:8" ht="16" customHeight="1" x14ac:dyDescent="0.25">
      <c r="A287" s="42">
        <v>283</v>
      </c>
      <c r="B287" s="8" t="str">
        <f>HYPERLINK("https://www.circlehealthgroup.co.uk/hospitals/ross-hall-hospital/dermatology","Dermatology Service, Ross Hall Hospital")</f>
        <v>Dermatology Service, Ross Hall Hospital</v>
      </c>
      <c r="C287" s="43" t="s">
        <v>31</v>
      </c>
      <c r="D287" s="43" t="s">
        <v>33</v>
      </c>
      <c r="E287" s="8" t="s">
        <v>1278</v>
      </c>
      <c r="F287" s="44" t="s">
        <v>1331</v>
      </c>
      <c r="G287" s="44" t="s">
        <v>906</v>
      </c>
      <c r="H287" s="8"/>
    </row>
    <row r="288" spans="1:8" ht="16" customHeight="1" x14ac:dyDescent="0.25">
      <c r="A288" s="42">
        <v>284</v>
      </c>
      <c r="B288" s="8" t="str">
        <f>HYPERLINK("https://www.spirehealthcare.com/spire-edinburgh-hospitals-murrayfield-and-shawfair-park/treatments/skin-treatments/","Dermatology Service, Spire Edinburgh Hospitals Murrayfield and Shawfair Park")</f>
        <v>Dermatology Service, Spire Edinburgh Hospitals Murrayfield and Shawfair Park</v>
      </c>
      <c r="C288" s="43" t="s">
        <v>31</v>
      </c>
      <c r="D288" s="43" t="s">
        <v>33</v>
      </c>
      <c r="E288" s="8" t="s">
        <v>1279</v>
      </c>
      <c r="F288" s="44" t="s">
        <v>1331</v>
      </c>
      <c r="G288" s="44" t="s">
        <v>904</v>
      </c>
      <c r="H288" s="8"/>
    </row>
    <row r="289" spans="1:8" ht="16" customHeight="1" x14ac:dyDescent="0.25">
      <c r="A289" s="42">
        <v>285</v>
      </c>
      <c r="B289" s="8" t="str">
        <f>HYPERLINK("https://www.edinburghclinic.com/services/dermatology/","Dermatology Service, The Edinburgh Clinic")</f>
        <v>Dermatology Service, The Edinburgh Clinic</v>
      </c>
      <c r="C289" s="43" t="s">
        <v>31</v>
      </c>
      <c r="D289" s="43" t="s">
        <v>33</v>
      </c>
      <c r="E289" s="8" t="s">
        <v>1280</v>
      </c>
      <c r="F289" s="44" t="s">
        <v>1331</v>
      </c>
      <c r="G289" s="44" t="s">
        <v>906</v>
      </c>
      <c r="H289" s="8"/>
    </row>
    <row r="290" spans="1:8" ht="16" customHeight="1" x14ac:dyDescent="0.25">
      <c r="A290" s="42">
        <v>286</v>
      </c>
      <c r="B290" s="8" t="str">
        <f>HYPERLINK("https://www.sknclinics.co.uk/clinics/the-north-and-scotland/aberdeen-union-street","sk:n Aberdeen Union Street")</f>
        <v>sk:n Aberdeen Union Street</v>
      </c>
      <c r="C290" s="43" t="s">
        <v>31</v>
      </c>
      <c r="D290" s="43" t="s">
        <v>33</v>
      </c>
      <c r="E290" s="8" t="s">
        <v>1281</v>
      </c>
      <c r="F290" s="44" t="s">
        <v>1331</v>
      </c>
      <c r="G290" s="44" t="s">
        <v>906</v>
      </c>
      <c r="H290" s="8"/>
    </row>
    <row r="291" spans="1:8" ht="16" customHeight="1" x14ac:dyDescent="0.25">
      <c r="A291" s="42">
        <v>287</v>
      </c>
      <c r="B291" s="8" t="str">
        <f>HYPERLINK("https://www.sknclinics.co.uk/clinics/the-north-and-scotland/edinburgh-hanover-street","sk:n Edinburgh Hanover Street")</f>
        <v>sk:n Edinburgh Hanover Street</v>
      </c>
      <c r="C291" s="43" t="s">
        <v>31</v>
      </c>
      <c r="D291" s="43" t="s">
        <v>33</v>
      </c>
      <c r="E291" s="8" t="s">
        <v>1282</v>
      </c>
      <c r="F291" s="44" t="s">
        <v>1331</v>
      </c>
      <c r="G291" s="44" t="s">
        <v>906</v>
      </c>
      <c r="H291" s="8"/>
    </row>
    <row r="292" spans="1:8" ht="16" customHeight="1" x14ac:dyDescent="0.25">
      <c r="A292" s="42">
        <v>288</v>
      </c>
      <c r="B292" s="8" t="str">
        <f>HYPERLINK("https://www.sknclinics.co.uk/clinics/the-north-and-scotland/glasgow-gordon-street","sk:n Glasgow Gordon Street")</f>
        <v>sk:n Glasgow Gordon Street</v>
      </c>
      <c r="C292" s="43" t="s">
        <v>31</v>
      </c>
      <c r="D292" s="43" t="s">
        <v>33</v>
      </c>
      <c r="E292" s="8" t="s">
        <v>1283</v>
      </c>
      <c r="F292" s="44" t="s">
        <v>1331</v>
      </c>
      <c r="G292" s="44" t="s">
        <v>906</v>
      </c>
      <c r="H292" s="8"/>
    </row>
    <row r="293" spans="1:8" ht="16" customHeight="1" x14ac:dyDescent="0.25">
      <c r="A293" s="42">
        <v>289</v>
      </c>
      <c r="B293" s="8" t="str">
        <f>HYPERLINK("https://clearskin.uk.com/","Clear Skin Dermatology Treatment Clinic")</f>
        <v>Clear Skin Dermatology Treatment Clinic</v>
      </c>
      <c r="C293" s="43" t="s">
        <v>31</v>
      </c>
      <c r="D293" s="43" t="s">
        <v>69</v>
      </c>
      <c r="E293" s="8" t="s">
        <v>1284</v>
      </c>
      <c r="F293" s="44" t="s">
        <v>1331</v>
      </c>
      <c r="G293" s="44" t="s">
        <v>906</v>
      </c>
      <c r="H293" s="8"/>
    </row>
    <row r="294" spans="1:8" ht="16" customHeight="1" x14ac:dyDescent="0.25">
      <c r="A294" s="42">
        <v>290</v>
      </c>
      <c r="B294" s="8" t="str">
        <f>HYPERLINK("https://www.dermatologyclinicwales.co.uk/","Dermatology Clinic Wales")</f>
        <v>Dermatology Clinic Wales</v>
      </c>
      <c r="C294" s="43" t="s">
        <v>31</v>
      </c>
      <c r="D294" s="43" t="s">
        <v>69</v>
      </c>
      <c r="E294" s="8" t="s">
        <v>1285</v>
      </c>
      <c r="F294" s="44" t="s">
        <v>1331</v>
      </c>
      <c r="G294" s="44" t="s">
        <v>906</v>
      </c>
      <c r="H294" s="8"/>
    </row>
    <row r="295" spans="1:8" ht="16" customHeight="1" x14ac:dyDescent="0.25">
      <c r="A295" s="42">
        <v>291</v>
      </c>
      <c r="B295" s="8" t="str">
        <f>HYPERLINK("https://www.nuffieldhealth.com/hospitals/cardiff-and-vale/treatments?category=dermatology#filters","Dermatology Service, Cardiff and Vale Hospital")</f>
        <v>Dermatology Service, Cardiff and Vale Hospital</v>
      </c>
      <c r="C295" s="43" t="s">
        <v>31</v>
      </c>
      <c r="D295" s="43" t="s">
        <v>69</v>
      </c>
      <c r="E295" s="8" t="s">
        <v>1286</v>
      </c>
      <c r="F295" s="44" t="s">
        <v>1331</v>
      </c>
      <c r="G295" s="44" t="s">
        <v>904</v>
      </c>
      <c r="H295" s="8"/>
    </row>
    <row r="296" spans="1:8" ht="16" customHeight="1" x14ac:dyDescent="0.25">
      <c r="A296" s="42">
        <v>292</v>
      </c>
      <c r="B296" s="8" t="str">
        <f>HYPERLINK("https://www.spirehealthcare.com/spire-cardiff-hospital/treatments/skin-treatments/","Dermatology Service, Spire Cardiff Hospital")</f>
        <v>Dermatology Service, Spire Cardiff Hospital</v>
      </c>
      <c r="C296" s="43" t="s">
        <v>31</v>
      </c>
      <c r="D296" s="43" t="s">
        <v>69</v>
      </c>
      <c r="E296" s="8" t="s">
        <v>1287</v>
      </c>
      <c r="F296" s="44" t="s">
        <v>1331</v>
      </c>
      <c r="G296" s="44" t="s">
        <v>906</v>
      </c>
      <c r="H296" s="8"/>
    </row>
    <row r="297" spans="1:8" ht="16" customHeight="1" x14ac:dyDescent="0.25">
      <c r="A297" s="42">
        <v>293</v>
      </c>
      <c r="B297" s="8" t="str">
        <f>HYPERLINK("https://www.spirehealthcare.com/spire-yale-chesney-court-outpatient-and-diagnostic-centre/home/","Dermatology Service, Spire Yale - Chesney Court Outpatient and Diagnostic Centre")</f>
        <v>Dermatology Service, Spire Yale - Chesney Court Outpatient and Diagnostic Centre</v>
      </c>
      <c r="C297" s="43" t="s">
        <v>31</v>
      </c>
      <c r="D297" s="43" t="s">
        <v>69</v>
      </c>
      <c r="E297" s="8" t="s">
        <v>1288</v>
      </c>
      <c r="F297" s="44" t="s">
        <v>1331</v>
      </c>
      <c r="G297" s="44" t="s">
        <v>904</v>
      </c>
      <c r="H297" s="8"/>
    </row>
    <row r="298" spans="1:8" ht="16" customHeight="1" x14ac:dyDescent="0.25">
      <c r="A298" s="42">
        <v>294</v>
      </c>
      <c r="B298" s="8" t="str">
        <f>HYPERLINK("https://www.spirehealthcare.com/spire-yale-hospital/treatments/skin-treatments/","Dermatology Service, Spire Yale Hospital")</f>
        <v>Dermatology Service, Spire Yale Hospital</v>
      </c>
      <c r="C298" s="43" t="s">
        <v>31</v>
      </c>
      <c r="D298" s="43" t="s">
        <v>69</v>
      </c>
      <c r="E298" s="8" t="s">
        <v>1289</v>
      </c>
      <c r="F298" s="44" t="s">
        <v>1331</v>
      </c>
      <c r="G298" s="44" t="s">
        <v>906</v>
      </c>
      <c r="H298" s="8"/>
    </row>
    <row r="299" spans="1:8" ht="16" customHeight="1" x14ac:dyDescent="0.25">
      <c r="A299" s="42">
        <v>295</v>
      </c>
      <c r="B299" s="8" t="str">
        <f>HYPERLINK("https://www.circlehealthgroup.co.uk/specialities/dermatology?hospitalId=38be1567-bae6-43db-a8bd-4b7be89d8f35","Dermatology Service, Werndale Hospital")</f>
        <v>Dermatology Service, Werndale Hospital</v>
      </c>
      <c r="C299" s="43" t="s">
        <v>31</v>
      </c>
      <c r="D299" s="43" t="s">
        <v>69</v>
      </c>
      <c r="E299" s="8" t="s">
        <v>1290</v>
      </c>
      <c r="F299" s="44" t="s">
        <v>1331</v>
      </c>
      <c r="G299" s="44" t="s">
        <v>906</v>
      </c>
      <c r="H299" s="8"/>
    </row>
    <row r="300" spans="1:8" ht="16" customHeight="1" x14ac:dyDescent="0.25">
      <c r="A300" s="42">
        <v>296</v>
      </c>
      <c r="B300" s="8" t="str">
        <f>HYPERLINK("https://diamondskincare.co.uk/","Diamond Skin Care")</f>
        <v>Diamond Skin Care</v>
      </c>
      <c r="C300" s="43" t="s">
        <v>31</v>
      </c>
      <c r="D300" s="43" t="s">
        <v>69</v>
      </c>
      <c r="E300" s="8" t="s">
        <v>1291</v>
      </c>
      <c r="F300" s="44" t="s">
        <v>1331</v>
      </c>
      <c r="G300" s="44" t="s">
        <v>906</v>
      </c>
      <c r="H300" s="8"/>
    </row>
    <row r="301" spans="1:8" ht="16" customHeight="1" x14ac:dyDescent="0.25">
      <c r="A301" s="42">
        <v>297</v>
      </c>
      <c r="B301" s="8" t="str">
        <f>HYPERLINK("https://www.pennantprivatemedical.co.uk/our-services/private-dermatologist/","Private Dermatologist, Pennant Private Medical Services")</f>
        <v>Private Dermatologist, Pennant Private Medical Services</v>
      </c>
      <c r="C301" s="43" t="s">
        <v>31</v>
      </c>
      <c r="D301" s="43" t="s">
        <v>69</v>
      </c>
      <c r="E301" s="8" t="s">
        <v>1292</v>
      </c>
      <c r="F301" s="44" t="s">
        <v>1331</v>
      </c>
      <c r="G301" s="44" t="s">
        <v>906</v>
      </c>
      <c r="H301" s="8"/>
    </row>
    <row r="302" spans="1:8" ht="16" customHeight="1" x14ac:dyDescent="0.25">
      <c r="A302" s="42">
        <v>298</v>
      </c>
      <c r="B302" s="8" t="str">
        <f>HYPERLINK("https://www.sknclinics.co.uk/clinics/the-midlands/cardiff-charles-street","sk:n Cardiff Charles Street")</f>
        <v>sk:n Cardiff Charles Street</v>
      </c>
      <c r="C302" s="43" t="s">
        <v>31</v>
      </c>
      <c r="D302" s="43" t="s">
        <v>69</v>
      </c>
      <c r="E302" s="8" t="s">
        <v>1293</v>
      </c>
      <c r="F302" s="44" t="s">
        <v>1331</v>
      </c>
      <c r="G302" s="44" t="s">
        <v>906</v>
      </c>
      <c r="H302" s="8"/>
    </row>
    <row r="303" spans="1:8" ht="16" customHeight="1" x14ac:dyDescent="0.25">
      <c r="A303" s="42">
        <v>299</v>
      </c>
      <c r="B303" s="8" t="str">
        <f>HYPERLINK("https://www.stjosephshospital.co.uk/treatments/specialities/dermatology/","Skin Clinic, St Joseph’s Hospital")</f>
        <v>Skin Clinic, St Joseph’s Hospital</v>
      </c>
      <c r="C303" s="43" t="s">
        <v>31</v>
      </c>
      <c r="D303" s="43" t="s">
        <v>69</v>
      </c>
      <c r="E303" s="8" t="s">
        <v>1294</v>
      </c>
      <c r="F303" s="44" t="s">
        <v>1331</v>
      </c>
      <c r="G303" s="44" t="s">
        <v>906</v>
      </c>
      <c r="H303" s="8"/>
    </row>
    <row r="304" spans="1:8" ht="16" customHeight="1" x14ac:dyDescent="0.25">
      <c r="A304" s="42">
        <v>300</v>
      </c>
      <c r="B304" s="8" t="str">
        <f>HYPERLINK("http://www.specialistskinclinic.uk/","Specialist Skin Clinic")</f>
        <v>Specialist Skin Clinic</v>
      </c>
      <c r="C304" s="43" t="s">
        <v>31</v>
      </c>
      <c r="D304" s="43" t="s">
        <v>69</v>
      </c>
      <c r="E304" s="8" t="s">
        <v>1295</v>
      </c>
      <c r="F304" s="44" t="s">
        <v>1331</v>
      </c>
      <c r="G304" s="44" t="s">
        <v>906</v>
      </c>
      <c r="H304" s="8"/>
    </row>
    <row r="305" spans="1:8" ht="16" customHeight="1" x14ac:dyDescent="0.25">
      <c r="A305" s="42">
        <v>301</v>
      </c>
      <c r="B305" s="8" t="str">
        <f>HYPERLINK("http://www.theeczemaclinic.co.uk/","The Eczema Clinic")</f>
        <v>The Eczema Clinic</v>
      </c>
      <c r="C305" s="43" t="s">
        <v>31</v>
      </c>
      <c r="D305" s="43" t="s">
        <v>69</v>
      </c>
      <c r="E305" s="8" t="s">
        <v>1296</v>
      </c>
      <c r="F305" s="44" t="s">
        <v>1331</v>
      </c>
      <c r="G305" s="44" t="s">
        <v>197</v>
      </c>
      <c r="H305" s="8"/>
    </row>
  </sheetData>
  <autoFilter ref="A4:H4"/>
  <sortState ref="A5:H307">
    <sortCondition ref="C5:C307" customList="International,Regional,National"/>
    <sortCondition ref="D5:D307"/>
    <sortCondition ref="B5:B307"/>
  </sortState>
  <mergeCells count="2">
    <mergeCell ref="A1:H1"/>
    <mergeCell ref="A2:H3"/>
  </mergeCells>
  <hyperlinks>
    <hyperlink ref="E5" r:id="rId1"/>
    <hyperlink ref="E6" r:id="rId2"/>
    <hyperlink ref="E7" r:id="rId3"/>
    <hyperlink ref="E8" r:id="rId4"/>
    <hyperlink ref="E9" r:id="rId5"/>
    <hyperlink ref="E13" r:id="rId6"/>
    <hyperlink ref="E16" r:id="rId7"/>
    <hyperlink ref="E18" r:id="rId8"/>
    <hyperlink ref="E20" r:id="rId9"/>
    <hyperlink ref="E21" r:id="rId10"/>
    <hyperlink ref="E22" r:id="rId11"/>
    <hyperlink ref="E23" r:id="rId12" location="filters"/>
    <hyperlink ref="E24" r:id="rId13" location="filters"/>
    <hyperlink ref="E25" r:id="rId14" location="filters"/>
    <hyperlink ref="E26" r:id="rId15" location="filters"/>
    <hyperlink ref="E27" r:id="rId16" location="filters"/>
    <hyperlink ref="E28" r:id="rId17"/>
    <hyperlink ref="E29" r:id="rId18"/>
    <hyperlink ref="E30" r:id="rId19"/>
    <hyperlink ref="E31" r:id="rId20" location="filters"/>
    <hyperlink ref="E32" r:id="rId21" location="filters"/>
    <hyperlink ref="E33" r:id="rId22" location="filters"/>
    <hyperlink ref="E34" r:id="rId23"/>
    <hyperlink ref="E35" r:id="rId24"/>
    <hyperlink ref="E36" r:id="rId25"/>
    <hyperlink ref="E37" r:id="rId26" location="dermatology-consultants"/>
    <hyperlink ref="E38" r:id="rId27"/>
    <hyperlink ref="E39" r:id="rId28" location="filters"/>
    <hyperlink ref="E41" r:id="rId29"/>
    <hyperlink ref="E42" r:id="rId30" location="filters"/>
    <hyperlink ref="E43" r:id="rId31"/>
    <hyperlink ref="E44" r:id="rId32"/>
    <hyperlink ref="E45" r:id="rId33"/>
    <hyperlink ref="E46" r:id="rId34"/>
    <hyperlink ref="E47" r:id="rId35"/>
    <hyperlink ref="E48" r:id="rId36" location="filters"/>
    <hyperlink ref="E49" r:id="rId37"/>
    <hyperlink ref="E51" r:id="rId38" location="filters"/>
    <hyperlink ref="E52" r:id="rId39"/>
    <hyperlink ref="E53" r:id="rId40" location="filters"/>
    <hyperlink ref="E54" r:id="rId41"/>
    <hyperlink ref="E55" r:id="rId42"/>
    <hyperlink ref="E56" r:id="rId43" location="filters"/>
    <hyperlink ref="E57" r:id="rId44" location="results"/>
    <hyperlink ref="E58" r:id="rId45"/>
    <hyperlink ref="E59" r:id="rId46"/>
    <hyperlink ref="E60" r:id="rId47" location="filters"/>
    <hyperlink ref="E61" r:id="rId48" location="filters"/>
    <hyperlink ref="E62" r:id="rId49"/>
    <hyperlink ref="E63" r:id="rId50"/>
    <hyperlink ref="E64" r:id="rId51"/>
    <hyperlink ref="E65" r:id="rId52"/>
    <hyperlink ref="E66" r:id="rId53" location="filters"/>
    <hyperlink ref="E67" r:id="rId54"/>
    <hyperlink ref="E68" r:id="rId55" location="filters"/>
    <hyperlink ref="E69" r:id="rId56" location="filters"/>
    <hyperlink ref="E70" r:id="rId57"/>
    <hyperlink ref="E72" r:id="rId58"/>
    <hyperlink ref="E73" r:id="rId59" location="filters"/>
    <hyperlink ref="E75" r:id="rId60"/>
    <hyperlink ref="E76" r:id="rId61" location="filters"/>
    <hyperlink ref="E77" r:id="rId62"/>
    <hyperlink ref="E78" r:id="rId63"/>
    <hyperlink ref="E79" r:id="rId64"/>
    <hyperlink ref="E80" r:id="rId65"/>
    <hyperlink ref="E81" r:id="rId66"/>
    <hyperlink ref="E82" r:id="rId67"/>
    <hyperlink ref="E83" r:id="rId68" location="filters"/>
    <hyperlink ref="E84" r:id="rId69"/>
    <hyperlink ref="E85" r:id="rId70"/>
    <hyperlink ref="E86" r:id="rId71"/>
    <hyperlink ref="E87" r:id="rId72"/>
    <hyperlink ref="E88" r:id="rId73"/>
    <hyperlink ref="E89" r:id="rId74"/>
    <hyperlink ref="E92" r:id="rId75"/>
    <hyperlink ref="E93" r:id="rId76"/>
    <hyperlink ref="E94" r:id="rId77"/>
    <hyperlink ref="E95" r:id="rId78"/>
    <hyperlink ref="E96" r:id="rId79"/>
    <hyperlink ref="E97" r:id="rId80"/>
    <hyperlink ref="E98" r:id="rId81"/>
    <hyperlink ref="E99" r:id="rId82"/>
    <hyperlink ref="E100" r:id="rId83"/>
    <hyperlink ref="E101" r:id="rId84"/>
    <hyperlink ref="E102" r:id="rId85"/>
    <hyperlink ref="E103" r:id="rId86"/>
    <hyperlink ref="E104" r:id="rId87"/>
    <hyperlink ref="E106" r:id="rId88"/>
    <hyperlink ref="E107" r:id="rId89"/>
    <hyperlink ref="E108" r:id="rId90"/>
    <hyperlink ref="E110" r:id="rId91"/>
    <hyperlink ref="E111" r:id="rId92"/>
    <hyperlink ref="E112" r:id="rId93"/>
    <hyperlink ref="E113" r:id="rId94"/>
    <hyperlink ref="E114" r:id="rId95"/>
    <hyperlink ref="E115" r:id="rId96"/>
    <hyperlink ref="E116" r:id="rId97"/>
    <hyperlink ref="E117" r:id="rId98"/>
    <hyperlink ref="E118" r:id="rId99"/>
    <hyperlink ref="E119" r:id="rId100"/>
    <hyperlink ref="E120" r:id="rId101"/>
    <hyperlink ref="E121" r:id="rId102"/>
    <hyperlink ref="E122" r:id="rId103"/>
    <hyperlink ref="E123" r:id="rId104"/>
    <hyperlink ref="E124" r:id="rId105"/>
    <hyperlink ref="E125" r:id="rId106"/>
    <hyperlink ref="E126" r:id="rId107" location="filters"/>
    <hyperlink ref="E127" r:id="rId108" location="filters"/>
    <hyperlink ref="E128" r:id="rId109"/>
    <hyperlink ref="E129" r:id="rId110"/>
    <hyperlink ref="E130" r:id="rId111"/>
    <hyperlink ref="E132" r:id="rId112"/>
    <hyperlink ref="E133" r:id="rId113"/>
    <hyperlink ref="E134" r:id="rId114"/>
    <hyperlink ref="E135" r:id="rId115"/>
    <hyperlink ref="E136" r:id="rId116"/>
    <hyperlink ref="E137" r:id="rId117"/>
    <hyperlink ref="E138" r:id="rId118"/>
    <hyperlink ref="E139" r:id="rId119"/>
    <hyperlink ref="E140" r:id="rId120"/>
    <hyperlink ref="E141" r:id="rId121"/>
    <hyperlink ref="E142" r:id="rId122"/>
    <hyperlink ref="E143" r:id="rId123"/>
    <hyperlink ref="E144" r:id="rId124"/>
    <hyperlink ref="E145" r:id="rId125"/>
    <hyperlink ref="E146" r:id="rId126"/>
    <hyperlink ref="E147" r:id="rId127"/>
    <hyperlink ref="E149" r:id="rId128"/>
    <hyperlink ref="E150" r:id="rId129"/>
    <hyperlink ref="E151" r:id="rId130"/>
    <hyperlink ref="E152" r:id="rId131"/>
    <hyperlink ref="E153" r:id="rId132"/>
    <hyperlink ref="E154" r:id="rId133"/>
    <hyperlink ref="E155" r:id="rId134"/>
    <hyperlink ref="E156" r:id="rId135"/>
    <hyperlink ref="E158" r:id="rId136"/>
    <hyperlink ref="E159" r:id="rId137"/>
    <hyperlink ref="E160" r:id="rId138"/>
    <hyperlink ref="E161" r:id="rId139"/>
    <hyperlink ref="E162" r:id="rId140"/>
    <hyperlink ref="E163" r:id="rId141"/>
    <hyperlink ref="E164" r:id="rId142"/>
    <hyperlink ref="E165" r:id="rId143"/>
    <hyperlink ref="E166" r:id="rId144"/>
    <hyperlink ref="E167" r:id="rId145"/>
    <hyperlink ref="E168" r:id="rId146"/>
    <hyperlink ref="E169" r:id="rId147"/>
    <hyperlink ref="E170" r:id="rId148"/>
    <hyperlink ref="E171" r:id="rId149"/>
    <hyperlink ref="E172" r:id="rId150"/>
    <hyperlink ref="E173" r:id="rId151" location="filters"/>
    <hyperlink ref="E175" r:id="rId152" location="filters"/>
    <hyperlink ref="E176" r:id="rId153" location="filters"/>
    <hyperlink ref="E177" r:id="rId154"/>
    <hyperlink ref="E178" r:id="rId155"/>
    <hyperlink ref="E179" r:id="rId156" location="filters"/>
    <hyperlink ref="E181" r:id="rId157"/>
    <hyperlink ref="E182" r:id="rId158"/>
    <hyperlink ref="E183" r:id="rId159" location="filters"/>
    <hyperlink ref="E184" r:id="rId160"/>
    <hyperlink ref="E189" r:id="rId161"/>
    <hyperlink ref="E190" r:id="rId162"/>
    <hyperlink ref="E193" r:id="rId163"/>
    <hyperlink ref="E194" r:id="rId164"/>
    <hyperlink ref="E195" r:id="rId165"/>
    <hyperlink ref="E196" r:id="rId166"/>
    <hyperlink ref="E197" r:id="rId167"/>
    <hyperlink ref="E198" r:id="rId168"/>
    <hyperlink ref="E199" r:id="rId169"/>
    <hyperlink ref="E200" r:id="rId170"/>
    <hyperlink ref="E201" r:id="rId171"/>
    <hyperlink ref="E202" r:id="rId172"/>
    <hyperlink ref="E203" r:id="rId173"/>
    <hyperlink ref="E204" r:id="rId174"/>
    <hyperlink ref="E205" r:id="rId175"/>
    <hyperlink ref="E207" r:id="rId176"/>
    <hyperlink ref="E208" r:id="rId177"/>
    <hyperlink ref="E209" r:id="rId178"/>
    <hyperlink ref="E210" r:id="rId179"/>
    <hyperlink ref="E211" r:id="rId180"/>
    <hyperlink ref="E212" r:id="rId181"/>
    <hyperlink ref="E213" r:id="rId182"/>
    <hyperlink ref="E214" r:id="rId183"/>
    <hyperlink ref="E215" r:id="rId184"/>
    <hyperlink ref="E216" r:id="rId185"/>
    <hyperlink ref="E217" r:id="rId186"/>
    <hyperlink ref="E219" r:id="rId187"/>
    <hyperlink ref="E220" r:id="rId188"/>
    <hyperlink ref="E221" r:id="rId189"/>
    <hyperlink ref="E222" r:id="rId190"/>
    <hyperlink ref="E223" r:id="rId191"/>
    <hyperlink ref="E224" r:id="rId192"/>
    <hyperlink ref="E225" r:id="rId193"/>
    <hyperlink ref="E226" r:id="rId194"/>
    <hyperlink ref="E227" r:id="rId195"/>
    <hyperlink ref="E228" r:id="rId196"/>
    <hyperlink ref="E229" r:id="rId197"/>
    <hyperlink ref="E230" r:id="rId198"/>
    <hyperlink ref="E231" r:id="rId199"/>
    <hyperlink ref="E232" r:id="rId200"/>
    <hyperlink ref="E233" r:id="rId201"/>
    <hyperlink ref="E234" r:id="rId202"/>
    <hyperlink ref="E237" r:id="rId203"/>
    <hyperlink ref="E238" r:id="rId204"/>
    <hyperlink ref="E239" r:id="rId205"/>
    <hyperlink ref="E240" r:id="rId206"/>
    <hyperlink ref="E241" r:id="rId207"/>
    <hyperlink ref="E242" r:id="rId208"/>
    <hyperlink ref="E243" r:id="rId209"/>
    <hyperlink ref="E244" r:id="rId210"/>
    <hyperlink ref="E245" r:id="rId211"/>
    <hyperlink ref="E246" r:id="rId212"/>
    <hyperlink ref="E248" r:id="rId213"/>
    <hyperlink ref="E249" r:id="rId214"/>
    <hyperlink ref="E251" r:id="rId215"/>
    <hyperlink ref="E253" r:id="rId216"/>
    <hyperlink ref="E256" r:id="rId217"/>
    <hyperlink ref="E257" r:id="rId218"/>
    <hyperlink ref="E278" r:id="rId219"/>
    <hyperlink ref="E279" r:id="rId220"/>
    <hyperlink ref="E280" r:id="rId221"/>
    <hyperlink ref="E281" r:id="rId222"/>
    <hyperlink ref="E282" r:id="rId223"/>
    <hyperlink ref="E283" r:id="rId224" location="filters"/>
    <hyperlink ref="E284" r:id="rId225"/>
    <hyperlink ref="E285" r:id="rId226"/>
    <hyperlink ref="E286" r:id="rId227"/>
    <hyperlink ref="E287" r:id="rId228"/>
    <hyperlink ref="E288" r:id="rId229"/>
    <hyperlink ref="E289" r:id="rId230"/>
    <hyperlink ref="E290" r:id="rId231"/>
    <hyperlink ref="E291" r:id="rId232"/>
    <hyperlink ref="E292" r:id="rId233"/>
    <hyperlink ref="E293" r:id="rId234"/>
    <hyperlink ref="E294" r:id="rId235"/>
    <hyperlink ref="E295" r:id="rId236" location="filters"/>
    <hyperlink ref="E296" r:id="rId237"/>
    <hyperlink ref="E297" r:id="rId238"/>
    <hyperlink ref="E298" r:id="rId239"/>
    <hyperlink ref="E300" r:id="rId240"/>
    <hyperlink ref="E301" r:id="rId241"/>
    <hyperlink ref="E302" r:id="rId242"/>
    <hyperlink ref="E303" r:id="rId243"/>
    <hyperlink ref="E304" r:id="rId244"/>
    <hyperlink ref="E305" r:id="rId245"/>
    <hyperlink ref="E258" r:id="rId246"/>
    <hyperlink ref="E259" r:id="rId247"/>
    <hyperlink ref="E260" r:id="rId248"/>
    <hyperlink ref="E261" r:id="rId249"/>
    <hyperlink ref="E262" r:id="rId250"/>
    <hyperlink ref="E263" r:id="rId251"/>
    <hyperlink ref="E264" r:id="rId252"/>
    <hyperlink ref="E266" r:id="rId253"/>
    <hyperlink ref="E267" r:id="rId254"/>
    <hyperlink ref="E268" r:id="rId255"/>
    <hyperlink ref="E270" r:id="rId256"/>
    <hyperlink ref="E272" r:id="rId257"/>
    <hyperlink ref="E273" r:id="rId258"/>
    <hyperlink ref="E274" r:id="rId259"/>
    <hyperlink ref="E275" r:id="rId260"/>
    <hyperlink ref="E276" r:id="rId261"/>
    <hyperlink ref="E277" r:id="rId262"/>
    <hyperlink ref="E14" r:id="rId263"/>
    <hyperlink ref="E174" r:id="rId264"/>
    <hyperlink ref="E247" r:id="rId265"/>
    <hyperlink ref="E255" r:id="rId266"/>
    <hyperlink ref="E186" r:id="rId267"/>
    <hyperlink ref="E11" r:id="rId268"/>
    <hyperlink ref="E192" r:id="rId269"/>
    <hyperlink ref="E252" r:id="rId270"/>
    <hyperlink ref="E185" r:id="rId271"/>
    <hyperlink ref="E15" r:id="rId272"/>
    <hyperlink ref="E191" r:id="rId273"/>
    <hyperlink ref="E187" r:id="rId274"/>
    <hyperlink ref="E250" r:id="rId275"/>
    <hyperlink ref="E10" r:id="rId276"/>
    <hyperlink ref="E17" r:id="rId277"/>
    <hyperlink ref="E19" r:id="rId278"/>
    <hyperlink ref="E40" r:id="rId279"/>
    <hyperlink ref="E71" r:id="rId280"/>
    <hyperlink ref="E74" r:id="rId281"/>
    <hyperlink ref="E90" r:id="rId282"/>
    <hyperlink ref="E91" r:id="rId283"/>
    <hyperlink ref="E105" r:id="rId284"/>
    <hyperlink ref="E131" r:id="rId285"/>
    <hyperlink ref="E148" r:id="rId286"/>
    <hyperlink ref="E157" r:id="rId287"/>
    <hyperlink ref="E180" r:id="rId288"/>
    <hyperlink ref="E188" r:id="rId289"/>
    <hyperlink ref="E206" r:id="rId290"/>
    <hyperlink ref="E218" r:id="rId291"/>
    <hyperlink ref="E235" r:id="rId292"/>
    <hyperlink ref="E236" r:id="rId293"/>
    <hyperlink ref="E254" r:id="rId294"/>
    <hyperlink ref="E299" r:id="rId295"/>
    <hyperlink ref="E265" r:id="rId296"/>
    <hyperlink ref="E269" r:id="rId297"/>
    <hyperlink ref="E271" r:id="rId298"/>
    <hyperlink ref="E12" r:id="rId299"/>
    <hyperlink ref="E50" r:id="rId300"/>
    <hyperlink ref="E109" r:id="rId301"/>
  </hyperlinks>
  <pageMargins left="0.7" right="0.7" top="0.75" bottom="0.75" header="0.3" footer="0.3"/>
  <pageSetup orientation="portrait" r:id="rId3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G137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8.81640625" defaultRowHeight="15" customHeight="1" x14ac:dyDescent="0.25"/>
  <cols>
    <col min="1" max="1" width="6.1796875" customWidth="1"/>
    <col min="2" max="2" width="73.1796875" customWidth="1"/>
    <col min="3" max="4" width="27.1796875" customWidth="1"/>
    <col min="5" max="5" width="28" customWidth="1"/>
    <col min="6" max="6" width="19.453125" style="30" customWidth="1"/>
    <col min="7" max="7" width="65.453125" customWidth="1"/>
  </cols>
  <sheetData>
    <row r="1" spans="1:7" ht="24.75" customHeight="1" x14ac:dyDescent="0.25">
      <c r="A1" s="72" t="s">
        <v>4</v>
      </c>
      <c r="B1" s="73"/>
      <c r="C1" s="73"/>
      <c r="D1" s="73"/>
      <c r="E1" s="73"/>
      <c r="F1" s="74"/>
      <c r="G1" s="75"/>
    </row>
    <row r="2" spans="1:7" ht="15" customHeight="1" x14ac:dyDescent="0.25">
      <c r="A2" s="64" t="s">
        <v>1</v>
      </c>
      <c r="B2" s="65"/>
      <c r="C2" s="65"/>
      <c r="D2" s="65"/>
      <c r="E2" s="65"/>
      <c r="F2" s="66"/>
      <c r="G2" s="67"/>
    </row>
    <row r="3" spans="1:7" ht="15" customHeight="1" x14ac:dyDescent="0.25">
      <c r="A3" s="68"/>
      <c r="B3" s="69"/>
      <c r="C3" s="69"/>
      <c r="D3" s="69"/>
      <c r="E3" s="69"/>
      <c r="F3" s="70"/>
      <c r="G3" s="71"/>
    </row>
    <row r="4" spans="1:7" ht="28.5" customHeight="1" x14ac:dyDescent="0.25">
      <c r="A4" s="36" t="s">
        <v>14</v>
      </c>
      <c r="B4" s="49" t="s">
        <v>17</v>
      </c>
      <c r="C4" s="49" t="s">
        <v>196</v>
      </c>
      <c r="D4" s="49" t="s">
        <v>18</v>
      </c>
      <c r="E4" s="36" t="s">
        <v>16</v>
      </c>
      <c r="F4" s="47" t="s">
        <v>902</v>
      </c>
      <c r="G4" s="49" t="s">
        <v>3</v>
      </c>
    </row>
    <row r="5" spans="1:7" s="6" customFormat="1" ht="16" customHeight="1" x14ac:dyDescent="0.25">
      <c r="A5" s="50">
        <v>1</v>
      </c>
      <c r="B5" s="8" t="str">
        <f>HYPERLINK("https://www.clinicaltrialsregister.eu/ctr-search/trial/2019-001227-12/IE","EudraCT Number: 2019-001227-12 - A Phase 3b, open label treatment extension study of upadacitinib for the treatment of adult subjects with moderate to severe atopic dermatitis who successfully completed treatment in the M16-046 study")</f>
        <v>EudraCT Number: 2019-001227-12 - A Phase 3b, open label treatment extension study of upadacitinib for the treatment of adult subjects with moderate to severe atopic dermatitis who successfully completed treatment in the M16-046 study</v>
      </c>
      <c r="C5" s="26" t="s">
        <v>207</v>
      </c>
      <c r="D5" s="26" t="s">
        <v>286</v>
      </c>
      <c r="E5" s="2" t="s">
        <v>287</v>
      </c>
      <c r="F5" s="28" t="s">
        <v>197</v>
      </c>
      <c r="G5" s="51"/>
    </row>
    <row r="6" spans="1:7" s="6" customFormat="1" ht="16" customHeight="1" x14ac:dyDescent="0.25">
      <c r="A6" s="50">
        <v>2</v>
      </c>
      <c r="B6" s="8" t="str">
        <f>HYPERLINK("https://www.clinicaltrialsregister.eu/ctr-search/trial/2019-001887-31/GB","EudraCT Number: 2019-001887-31 - A Randomized, Double-Blind, Placebo-Controlled Study to Assess the Efficacy and Safety of Nemolizumab (CD14152) in Subjects with Moderate-to-Severe Atopic Dermatitis")</f>
        <v>EudraCT Number: 2019-001887-31 - A Randomized, Double-Blind, Placebo-Controlled Study to Assess the Efficacy and Safety of Nemolizumab (CD14152) in Subjects with Moderate-to-Severe Atopic Dermatitis</v>
      </c>
      <c r="C6" s="26" t="s">
        <v>197</v>
      </c>
      <c r="D6" s="26" t="s">
        <v>309</v>
      </c>
      <c r="E6" s="2" t="s">
        <v>310</v>
      </c>
      <c r="F6" s="28" t="s">
        <v>197</v>
      </c>
      <c r="G6" s="51"/>
    </row>
    <row r="7" spans="1:7" s="6" customFormat="1" ht="16" customHeight="1" x14ac:dyDescent="0.25">
      <c r="A7" s="50">
        <v>3</v>
      </c>
      <c r="B7" s="8" t="str">
        <f>HYPERLINK("https://www.clinicaltrialsregister.eu/ctr-search/trial/2019-001889-15/FR","EudraCT Number: 2019-001889-15 - A Prospective, Multicenter, Long-Term Study to Assess the Safety and Efficacy of Nemolizumab (CD14152) in Subjects with Moderate-to-Severe Atopic Dermatitis")</f>
        <v>EudraCT Number: 2019-001889-15 - A Prospective, Multicenter, Long-Term Study to Assess the Safety and Efficacy of Nemolizumab (CD14152) in Subjects with Moderate-to-Severe Atopic Dermatitis</v>
      </c>
      <c r="C7" s="26" t="s">
        <v>197</v>
      </c>
      <c r="D7" s="26" t="s">
        <v>288</v>
      </c>
      <c r="E7" s="2" t="s">
        <v>289</v>
      </c>
      <c r="F7" s="28" t="s">
        <v>197</v>
      </c>
      <c r="G7" s="51"/>
    </row>
    <row r="8" spans="1:7" s="6" customFormat="1" ht="16" customHeight="1" x14ac:dyDescent="0.25">
      <c r="A8" s="50">
        <v>4</v>
      </c>
      <c r="B8" s="8" t="str">
        <f>HYPERLINK("https://www.clinicaltrialsregister.eu/ctr-search/trial/2019-002643-23/GB","EudraCT Number: 2019-002643-23 - Validation of a novel composite of skin biomarkers as a primary outcome measure for evaluating the safety of treatments for atopic dermatitis: a randomized controlled trial (phase 2) comparing the....")</f>
        <v>EudraCT Number: 2019-002643-23 - Validation of a novel composite of skin biomarkers as a primary outcome measure for evaluating the safety of treatments for atopic dermatitis: a randomized controlled trial (phase 2) comparing the....</v>
      </c>
      <c r="C8" s="26" t="s">
        <v>223</v>
      </c>
      <c r="D8" s="26" t="s">
        <v>290</v>
      </c>
      <c r="E8" s="2" t="s">
        <v>291</v>
      </c>
      <c r="F8" s="28" t="s">
        <v>197</v>
      </c>
      <c r="G8" s="51"/>
    </row>
    <row r="9" spans="1:7" s="6" customFormat="1" ht="16" customHeight="1" x14ac:dyDescent="0.25">
      <c r="A9" s="50">
        <v>5</v>
      </c>
      <c r="B9" s="8" t="str">
        <f>HYPERLINK("https://www.clinicaltrialsregister.eu/ctr-search/trial/2019-003304-12/GB","EudraCT Number: 2019-003304-12 - A Phase 2 Randomized, Double-blinded, Placebo-controlled Study to Evaluate the Efficacy and Safety of MEDI3506 in Adult Subjects with Moderate-to-severe Atopic Dermatitis")</f>
        <v>EudraCT Number: 2019-003304-12 - A Phase 2 Randomized, Double-blinded, Placebo-controlled Study to Evaluate the Efficacy and Safety of MEDI3506 in Adult Subjects with Moderate-to-severe Atopic Dermatitis</v>
      </c>
      <c r="C9" s="26" t="s">
        <v>197</v>
      </c>
      <c r="D9" s="26" t="s">
        <v>307</v>
      </c>
      <c r="E9" s="2" t="s">
        <v>308</v>
      </c>
      <c r="F9" s="28" t="s">
        <v>197</v>
      </c>
      <c r="G9" s="51"/>
    </row>
    <row r="10" spans="1:7" s="6" customFormat="1" ht="16" customHeight="1" x14ac:dyDescent="0.25">
      <c r="A10" s="50">
        <v>6</v>
      </c>
      <c r="B10" s="8" t="str">
        <f>HYPERLINK("https://www.clinicaltrialsregister.eu/ctr-search/trial/2019-004013-13/GB","EudraCT Number: 2019-004013-13 - A PHASE 3B RANDOMIZED, DOUBLE-BLIND, DOUBLE-DUMMY, ACTIVE CONTROLLED MULTI-CENTER STUDY ASSESSING THE EFFICACY AND SAFETY OF ABROCITINIB COMPARED WITH DUPILUMAB....")</f>
        <v>EudraCT Number: 2019-004013-13 - A PHASE 3B RANDOMIZED, DOUBLE-BLIND, DOUBLE-DUMMY, ACTIVE CONTROLLED MULTI-CENTER STUDY ASSESSING THE EFFICACY AND SAFETY OF ABROCITINIB COMPARED WITH DUPILUMAB....</v>
      </c>
      <c r="C10" s="26" t="s">
        <v>207</v>
      </c>
      <c r="D10" s="26" t="s">
        <v>292</v>
      </c>
      <c r="E10" s="2" t="s">
        <v>293</v>
      </c>
      <c r="F10" s="28" t="s">
        <v>197</v>
      </c>
      <c r="G10" s="51"/>
    </row>
    <row r="11" spans="1:7" s="6" customFormat="1" ht="16" customHeight="1" x14ac:dyDescent="0.25">
      <c r="A11" s="50">
        <v>7</v>
      </c>
      <c r="B11" s="8" t="str">
        <f>HYPERLINK("https://www.clinicaltrialsregister.eu/ctr-search/trial/2020-003143-28/GB","EudraCT Number: 2020-003143-28 - A First-in-Human, Double-Blind, Randomised, Vehicle Controlled Phase I/II Proof of Concept Study to Investigate the Safety, Tolerability, Pharmacokinetics and Efficacy of BEN2293 in Patients with....")</f>
        <v>EudraCT Number: 2020-003143-28 - A First-in-Human, Double-Blind, Randomised, Vehicle Controlled Phase I/II Proof of Concept Study to Investigate the Safety, Tolerability, Pharmacokinetics and Efficacy of BEN2293 in Patients with....</v>
      </c>
      <c r="C11" s="26" t="s">
        <v>294</v>
      </c>
      <c r="D11" s="26" t="s">
        <v>295</v>
      </c>
      <c r="E11" s="2" t="s">
        <v>296</v>
      </c>
      <c r="F11" s="28" t="s">
        <v>197</v>
      </c>
      <c r="G11" s="51"/>
    </row>
    <row r="12" spans="1:7" s="6" customFormat="1" ht="16" customHeight="1" x14ac:dyDescent="0.25">
      <c r="A12" s="50">
        <v>8</v>
      </c>
      <c r="B12" s="8" t="str">
        <f>HYPERLINK("https://www.clinicaltrialsregister.eu/ctr-search/trial/2020-003639-41/GB","EudraCT Number: 2020-003639-41 - Phase 1/2A, randomized, placebo-controlled, single-ascending dose (Part A, participant- and investigator-blind) and repeated-dose (Part B, participant-, investigator-, and sponsor-blind) study to investigate the safety....")</f>
        <v>EudraCT Number: 2020-003639-41 - Phase 1/2A, randomized, placebo-controlled, single-ascending dose (Part A, participant- and investigator-blind) and repeated-dose (Part B, participant-, investigator-, and sponsor-blind) study to investigate the safety....</v>
      </c>
      <c r="C12" s="26" t="s">
        <v>197</v>
      </c>
      <c r="D12" s="26" t="s">
        <v>297</v>
      </c>
      <c r="E12" s="2" t="s">
        <v>298</v>
      </c>
      <c r="F12" s="28" t="s">
        <v>197</v>
      </c>
      <c r="G12" s="51"/>
    </row>
    <row r="13" spans="1:7" s="6" customFormat="1" ht="16" customHeight="1" x14ac:dyDescent="0.25">
      <c r="A13" s="50">
        <v>9</v>
      </c>
      <c r="B13" s="8" t="str">
        <f>HYPERLINK("https://ClinicalTrials.gov/show/NCT03542994","NCT03542994 - A Phase 1a/1b Randomized Double-blind Placebo-controlled Single and Multiple Ascending Dose Study of EDP1066 in Healthy Participants and Participants With Mild to Moderate Psoriasis and Atopic Dermatitis")</f>
        <v>NCT03542994 - A Phase 1a/1b Randomized Double-blind Placebo-controlled Single and Multiple Ascending Dose Study of EDP1066 in Healthy Participants and Participants With Mild to Moderate Psoriasis and Atopic Dermatitis</v>
      </c>
      <c r="C13" s="26" t="s">
        <v>892</v>
      </c>
      <c r="D13" s="26" t="s">
        <v>241</v>
      </c>
      <c r="E13" s="2" t="s">
        <v>242</v>
      </c>
      <c r="F13" s="28" t="s">
        <v>906</v>
      </c>
      <c r="G13" s="51"/>
    </row>
    <row r="14" spans="1:7" s="6" customFormat="1" ht="16" customHeight="1" x14ac:dyDescent="0.25">
      <c r="A14" s="50">
        <v>10</v>
      </c>
      <c r="B14" s="8" t="str">
        <f>HYPERLINK("https://ClinicalTrials.gov/show/NCT03738397","NCT03738397 - A Phase 3b Multicenter, Randomized, Double-Blind, Double-Dummy, Active Controlled Study Comparing the Safety and Efficacy of Upadacitinib to Dupilumab in Adult Subjects With Moderate to Severe Atopic Dermatitis")</f>
        <v>NCT03738397 - A Phase 3b Multicenter, Randomized, Double-Blind, Double-Dummy, Active Controlled Study Comparing the Safety and Efficacy of Upadacitinib to Dupilumab in Adult Subjects With Moderate to Severe Atopic Dermatitis</v>
      </c>
      <c r="C14" s="26" t="s">
        <v>197</v>
      </c>
      <c r="D14" s="26" t="s">
        <v>203</v>
      </c>
      <c r="E14" s="2" t="s">
        <v>204</v>
      </c>
      <c r="F14" s="28" t="s">
        <v>197</v>
      </c>
      <c r="G14" s="51"/>
    </row>
    <row r="15" spans="1:7" s="6" customFormat="1" ht="16" customHeight="1" x14ac:dyDescent="0.25">
      <c r="A15" s="50">
        <v>11</v>
      </c>
      <c r="B15" s="8" t="str">
        <f>HYPERLINK("https://ClinicalTrials.gov/show/NCT03742414","NCT03742414 - SEAL (Stopping Eczema and ALlergy) Study: Prevent the Allergic March by Enhancing the Skin Barrier")</f>
        <v>NCT03742414 - SEAL (Stopping Eczema and ALlergy) Study: Prevent the Allergic March by Enhancing the Skin Barrier</v>
      </c>
      <c r="C15" s="26" t="s">
        <v>893</v>
      </c>
      <c r="D15" s="26" t="s">
        <v>236</v>
      </c>
      <c r="E15" s="2" t="s">
        <v>237</v>
      </c>
      <c r="F15" s="28" t="s">
        <v>197</v>
      </c>
      <c r="G15" s="51"/>
    </row>
    <row r="16" spans="1:7" s="6" customFormat="1" ht="16" customHeight="1" x14ac:dyDescent="0.25">
      <c r="A16" s="50">
        <v>12</v>
      </c>
      <c r="B16" s="8" t="str">
        <f>HYPERLINK("https://clinicaltrials.gov/study/NCT03795506","NCT03795506 - Temperature Controlled Laminar Airflow (TLA) Treatment of Moderate to Severe Atopic Eczema in Children and Adolescents - a Randomized Placebo Controlled Phase 2 Study")</f>
        <v>NCT03795506 - Temperature Controlled Laminar Airflow (TLA) Treatment of Moderate to Severe Atopic Eczema in Children and Adolescents - a Randomized Placebo Controlled Phase 2 Study</v>
      </c>
      <c r="C16" s="26" t="s">
        <v>224</v>
      </c>
      <c r="D16" s="26" t="s">
        <v>914</v>
      </c>
      <c r="E16" s="2" t="s">
        <v>936</v>
      </c>
      <c r="F16" s="28" t="s">
        <v>978</v>
      </c>
      <c r="G16" s="51"/>
    </row>
    <row r="17" spans="1:7" s="6" customFormat="1" ht="16" customHeight="1" x14ac:dyDescent="0.25">
      <c r="A17" s="50">
        <v>13</v>
      </c>
      <c r="B17" s="8" t="str">
        <f>HYPERLINK("https://ClinicalTrials.gov/show/NCT03796676","NCT03796676 - A Phase 3, Randomized, Double-blind, Placebo-controlled, Multi-center Study Investigating The Efficacy And Safety Of Pf-04965842 Co-administered With Background …...")</f>
        <v>NCT03796676 - A Phase 3, Randomized, Double-blind, Placebo-controlled, Multi-center Study Investigating The Efficacy And Safety Of Pf-04965842 Co-administered With Background …...</v>
      </c>
      <c r="C17" s="26" t="s">
        <v>197</v>
      </c>
      <c r="D17" s="26" t="s">
        <v>215</v>
      </c>
      <c r="E17" s="2" t="s">
        <v>216</v>
      </c>
      <c r="F17" s="28" t="s">
        <v>197</v>
      </c>
      <c r="G17" s="51"/>
    </row>
    <row r="18" spans="1:7" s="6" customFormat="1" ht="16" customHeight="1" x14ac:dyDescent="0.25">
      <c r="A18" s="50">
        <v>14</v>
      </c>
      <c r="B18" s="8" t="str">
        <f>HYPERLINK("https://ClinicalTrials.gov/show/NCT03809663","NCT03809663 - A Dose-Ranging, Double-Blind, Placebo-Controlled Study to Evaluate the Safety and Efficacy of Tezepelumab Alone or Combined With Topical Corticosteroids in Moderate-to-Severe Atopic Dermatitis")</f>
        <v>NCT03809663 - A Dose-Ranging, Double-Blind, Placebo-Controlled Study to Evaluate the Safety and Efficacy of Tezepelumab Alone or Combined With Topical Corticosteroids in Moderate-to-Severe Atopic Dermatitis</v>
      </c>
      <c r="C18" s="26" t="s">
        <v>197</v>
      </c>
      <c r="D18" s="26" t="s">
        <v>205</v>
      </c>
      <c r="E18" s="2" t="s">
        <v>206</v>
      </c>
      <c r="F18" s="28" t="s">
        <v>197</v>
      </c>
      <c r="G18" s="51"/>
    </row>
    <row r="19" spans="1:7" s="6" customFormat="1" ht="16" customHeight="1" x14ac:dyDescent="0.25">
      <c r="A19" s="50">
        <v>15</v>
      </c>
      <c r="B19" s="8" t="str">
        <f>HYPERLINK("https://ClinicalTrials.gov/show/NCT03823794","NCT03823794 - The Epidemiology of Atopic Dermatitis, Associated Comorbidities, and Treatment Patterns in the United Kingdom (UK)")</f>
        <v>NCT03823794 - The Epidemiology of Atopic Dermatitis, Associated Comorbidities, and Treatment Patterns in the United Kingdom (UK)</v>
      </c>
      <c r="C19" s="26" t="s">
        <v>894</v>
      </c>
      <c r="D19" s="26" t="s">
        <v>230</v>
      </c>
      <c r="E19" s="2" t="s">
        <v>231</v>
      </c>
      <c r="F19" s="28" t="s">
        <v>197</v>
      </c>
      <c r="G19" s="51"/>
    </row>
    <row r="20" spans="1:7" s="6" customFormat="1" ht="16" customHeight="1" x14ac:dyDescent="0.25">
      <c r="A20" s="50">
        <v>16</v>
      </c>
      <c r="B20" s="8" t="str">
        <f>HYPERLINK("https://ClinicalTrials.gov/show/NCT03871998","NCT03871998 - Short-term Topical Application to Prevent Atopic Dermatitis")</f>
        <v>NCT03871998 - Short-term Topical Application to Prevent Atopic Dermatitis</v>
      </c>
      <c r="C20" s="26" t="s">
        <v>895</v>
      </c>
      <c r="D20" s="26" t="s">
        <v>245</v>
      </c>
      <c r="E20" s="2" t="s">
        <v>246</v>
      </c>
      <c r="F20" s="28" t="s">
        <v>197</v>
      </c>
      <c r="G20" s="51"/>
    </row>
    <row r="21" spans="1:7" s="6" customFormat="1" ht="16" customHeight="1" x14ac:dyDescent="0.25">
      <c r="A21" s="50">
        <v>17</v>
      </c>
      <c r="B21" s="8" t="str">
        <f>HYPERLINK("https://ClinicalTrials.gov/show/NCT03901144","NCT03901144 - A Phase 2 Randomised Controlled Trial of a NOVel Moisturiser for Atopic Dermatitis: Effect on the Skin Barrier in Adults With a Predisposition to a Skin Barrier Defect")</f>
        <v>NCT03901144 - A Phase 2 Randomised Controlled Trial of a NOVel Moisturiser for Atopic Dermatitis: Effect on the Skin Barrier in Adults With a Predisposition to a Skin Barrier Defect</v>
      </c>
      <c r="C21" s="26" t="s">
        <v>212</v>
      </c>
      <c r="D21" s="26" t="s">
        <v>234</v>
      </c>
      <c r="E21" s="2" t="s">
        <v>235</v>
      </c>
      <c r="F21" s="28" t="s">
        <v>197</v>
      </c>
      <c r="G21" s="51"/>
    </row>
    <row r="22" spans="1:7" s="6" customFormat="1" ht="16" customHeight="1" x14ac:dyDescent="0.25">
      <c r="A22" s="50">
        <v>18</v>
      </c>
      <c r="B22" s="8" t="str">
        <f>HYPERLINK("https://ClinicalTrials.gov/show/NCT03948334","NCT03948334 - A Randomized, Double Blind, Multicenter Extension to CZPL389A2203 Dose-ranging Study to Assess the Short-term and Long-term Safety and Efficacy of Oral ZPL389 With Concomitant Use of TCS and/or TCI in Adult Patients With Atopic Dermatitis.")</f>
        <v>NCT03948334 - A Randomized, Double Blind, Multicenter Extension to CZPL389A2203 Dose-ranging Study to Assess the Short-term and Long-term Safety and Efficacy of Oral ZPL389 With Concomitant Use of TCS and/or TCI in Adult Patients With Atopic Dermatitis.</v>
      </c>
      <c r="C22" s="26" t="s">
        <v>197</v>
      </c>
      <c r="D22" s="26" t="s">
        <v>213</v>
      </c>
      <c r="E22" s="2" t="s">
        <v>214</v>
      </c>
      <c r="F22" s="28" t="s">
        <v>197</v>
      </c>
      <c r="G22" s="51"/>
    </row>
    <row r="23" spans="1:7" s="6" customFormat="1" ht="16" customHeight="1" x14ac:dyDescent="0.25">
      <c r="A23" s="50">
        <v>19</v>
      </c>
      <c r="B23" s="8" t="str">
        <f>HYPERLINK("https://clinicaltrials.gov/study/NCT03952559","NCT03952559 - A Phase 3, Multicenter, Randomized, Double-blind, Placebo-controlled, Parallel-group, Outpatient Study Evaluating the Pharmacokinetics, Efficacy, and Safety of Baricitinib in Pediatric Patients With Moderate to Severe Atopic Dermatitis")</f>
        <v>NCT03952559 - A Phase 3, Multicenter, Randomized, Double-blind, Placebo-controlled, Parallel-group, Outpatient Study Evaluating the Pharmacokinetics, Efficacy, and Safety of Baricitinib in Pediatric Patients With Moderate to Severe Atopic Dermatitis</v>
      </c>
      <c r="C23" s="26" t="s">
        <v>197</v>
      </c>
      <c r="D23" s="26" t="s">
        <v>915</v>
      </c>
      <c r="E23" s="2" t="s">
        <v>937</v>
      </c>
      <c r="F23" s="28" t="s">
        <v>978</v>
      </c>
      <c r="G23" s="51"/>
    </row>
    <row r="24" spans="1:7" s="6" customFormat="1" ht="16" customHeight="1" x14ac:dyDescent="0.25">
      <c r="A24" s="50">
        <v>20</v>
      </c>
      <c r="B24" s="8" t="str">
        <f>HYPERLINK("https://ClinicalTrials.gov/show/NCT03985943","NCT03985943 - A Randomized, Double-Blind, Placebo-Controlled Study to Assess the Efficacy and Safety of Nemolizumab in Subjects With Moderate-to-Severe Atopic Dermatitis")</f>
        <v>NCT03985943 - A Randomized, Double-Blind, Placebo-Controlled Study to Assess the Efficacy and Safety of Nemolizumab in Subjects With Moderate-to-Severe Atopic Dermatitis</v>
      </c>
      <c r="C24" s="26" t="s">
        <v>207</v>
      </c>
      <c r="D24" s="26" t="s">
        <v>208</v>
      </c>
      <c r="E24" s="2" t="s">
        <v>209</v>
      </c>
      <c r="F24" s="28" t="s">
        <v>197</v>
      </c>
      <c r="G24" s="51"/>
    </row>
    <row r="25" spans="1:7" s="6" customFormat="1" ht="16" customHeight="1" x14ac:dyDescent="0.25">
      <c r="A25" s="50">
        <v>21</v>
      </c>
      <c r="B25" s="8" t="str">
        <f>HYPERLINK("https://ClinicalTrials.gov/show/NCT03989206","NCT03989206 - A Prospective, Multicenter, Long-Term Study to Assess the Safety and Efficacy of Nemolizumab (CD14152) in Subjects With Moderate-to-Severe Atopic Dermatitis")</f>
        <v>NCT03989206 - A Prospective, Multicenter, Long-Term Study to Assess the Safety and Efficacy of Nemolizumab (CD14152) in Subjects With Moderate-to-Severe Atopic Dermatitis</v>
      </c>
      <c r="C25" s="26" t="s">
        <v>207</v>
      </c>
      <c r="D25" s="26" t="s">
        <v>210</v>
      </c>
      <c r="E25" s="2" t="s">
        <v>211</v>
      </c>
      <c r="F25" s="28" t="s">
        <v>197</v>
      </c>
      <c r="G25" s="51"/>
    </row>
    <row r="26" spans="1:7" s="6" customFormat="1" ht="16" customHeight="1" x14ac:dyDescent="0.25">
      <c r="A26" s="50">
        <v>22</v>
      </c>
      <c r="B26" s="8" t="str">
        <f>HYPERLINK("https://ClinicalTrials.gov/show/NCT04033367","NCT04033367 - A Randomized Double-blind, Placebo-controlled Study Evaluating the Effect of Dupilumab on Sleep in Adult Patients With Moderate to Severe Atopic Dermatitis (AD)")</f>
        <v>NCT04033367 - A Randomized Double-blind, Placebo-controlled Study Evaluating the Effect of Dupilumab on Sleep in Adult Patients With Moderate to Severe Atopic Dermatitis (AD)</v>
      </c>
      <c r="C26" s="26" t="s">
        <v>197</v>
      </c>
      <c r="D26" s="26" t="s">
        <v>219</v>
      </c>
      <c r="E26" s="2" t="s">
        <v>220</v>
      </c>
      <c r="F26" s="28" t="s">
        <v>197</v>
      </c>
      <c r="G26" s="51"/>
    </row>
    <row r="27" spans="1:7" s="6" customFormat="1" ht="16" customHeight="1" x14ac:dyDescent="0.25">
      <c r="A27" s="50">
        <v>23</v>
      </c>
      <c r="B27" s="8" t="str">
        <f>HYPERLINK("https://ClinicalTrials.gov/show/NCT04194814","NCT04194814 - Validation of a Novel Composite of Skin Biomarkers as a Primary Outcome Measure for Evaluating the Safety of Treatments for Atopic Dermatitis: a Randomized Controlled Trial ………....")</f>
        <v>NCT04194814 - Validation of a Novel Composite of Skin Biomarkers as a Primary Outcome Measure for Evaluating the Safety of Treatments for Atopic Dermatitis: a Randomized Controlled Trial ………....</v>
      </c>
      <c r="C27" s="26" t="s">
        <v>225</v>
      </c>
      <c r="D27" s="26" t="s">
        <v>226</v>
      </c>
      <c r="E27" s="2" t="s">
        <v>227</v>
      </c>
      <c r="F27" s="28" t="s">
        <v>197</v>
      </c>
      <c r="G27" s="51"/>
    </row>
    <row r="28" spans="1:7" s="6" customFormat="1" ht="16" customHeight="1" x14ac:dyDescent="0.25">
      <c r="A28" s="50">
        <v>24</v>
      </c>
      <c r="B28" s="8" t="str">
        <f>HYPERLINK("https://ClinicalTrials.gov/show/NCT04195698","NCT04195698 - A Phase 3b, Open-Label Treatment Extension Study of Upadacitinib For the Treatment of Adult Subjects With Moderate to Severe Atopic Dermatitis Who Completed Treatment in Study M16-046")</f>
        <v>NCT04195698 - A Phase 3b, Open-Label Treatment Extension Study of Upadacitinib For the Treatment of Adult Subjects With Moderate to Severe Atopic Dermatitis Who Completed Treatment in Study M16-046</v>
      </c>
      <c r="C28" s="26" t="s">
        <v>197</v>
      </c>
      <c r="D28" s="26" t="s">
        <v>198</v>
      </c>
      <c r="E28" s="2" t="s">
        <v>199</v>
      </c>
      <c r="F28" s="28" t="s">
        <v>197</v>
      </c>
      <c r="G28" s="51"/>
    </row>
    <row r="29" spans="1:7" s="6" customFormat="1" ht="16" customHeight="1" x14ac:dyDescent="0.25">
      <c r="A29" s="50">
        <v>25</v>
      </c>
      <c r="B29" s="8" t="str">
        <f>HYPERLINK("https://ClinicalTrials.gov/show/NCT04202679","NCT04202679 - A Randomized, Double Blind, Placebo-controlled, Multi-center, Parallel Group Study to Evaluate the Efficacy and Safety of Dupilumab in Patients With Prurigo Nodularis Who Are……….")</f>
        <v>NCT04202679 - A Randomized, Double Blind, Placebo-controlled, Multi-center, Parallel Group Study to Evaluate the Efficacy and Safety of Dupilumab in Patients With Prurigo Nodularis Who Are……….</v>
      </c>
      <c r="C29" s="26" t="s">
        <v>249</v>
      </c>
      <c r="D29" s="26" t="s">
        <v>250</v>
      </c>
      <c r="E29" s="2" t="s">
        <v>251</v>
      </c>
      <c r="F29" s="28" t="s">
        <v>197</v>
      </c>
      <c r="G29" s="51"/>
    </row>
    <row r="30" spans="1:7" s="6" customFormat="1" ht="16" customHeight="1" x14ac:dyDescent="0.25">
      <c r="A30" s="50">
        <v>26</v>
      </c>
      <c r="B30" s="8" t="str">
        <f>HYPERLINK("https://ClinicalTrials.gov/show/NCT04212169","NCT04212169 - A Phase 2 Randomized, Double-blinded, Placebo-controlled Study to Evaluate the Efficacy and Safety of MEDI3506 in Adult Subjects With Moderate-to-severe Atopic Dermatitis")</f>
        <v>NCT04212169 - A Phase 2 Randomized, Double-blinded, Placebo-controlled Study to Evaluate the Efficacy and Safety of MEDI3506 in Adult Subjects With Moderate-to-severe Atopic Dermatitis</v>
      </c>
      <c r="C30" s="26" t="s">
        <v>197</v>
      </c>
      <c r="D30" s="26" t="s">
        <v>217</v>
      </c>
      <c r="E30" s="2" t="s">
        <v>218</v>
      </c>
      <c r="F30" s="28" t="s">
        <v>197</v>
      </c>
      <c r="G30" s="51"/>
    </row>
    <row r="31" spans="1:7" s="6" customFormat="1" ht="16" customHeight="1" x14ac:dyDescent="0.25">
      <c r="A31" s="50">
        <v>27</v>
      </c>
      <c r="B31" s="8" t="str">
        <f>HYPERLINK("https://ClinicalTrials.gov/show/NCT04295824","NCT04295824 - Skin Pathology Assessment With Optical Technologies (SPOT): a Cross- Sectional Clinical Study in Atopic Dermatitis Patients and Healthy Subjects")</f>
        <v>NCT04295824 - Skin Pathology Assessment With Optical Technologies (SPOT): a Cross- Sectional Clinical Study in Atopic Dermatitis Patients and Healthy Subjects</v>
      </c>
      <c r="C31" s="26" t="s">
        <v>224</v>
      </c>
      <c r="D31" s="26" t="s">
        <v>228</v>
      </c>
      <c r="E31" s="2" t="s">
        <v>229</v>
      </c>
      <c r="F31" s="28" t="s">
        <v>197</v>
      </c>
      <c r="G31" s="51"/>
    </row>
    <row r="32" spans="1:7" s="6" customFormat="1" ht="16" customHeight="1" x14ac:dyDescent="0.25">
      <c r="A32" s="50">
        <v>28</v>
      </c>
      <c r="B32" s="8" t="str">
        <f>HYPERLINK("https://ClinicalTrials.gov/show/NCT04643457","NCT04643457 - A Phase I/IIA, Randomized, Placebo-Controlled, Single-Ascending Dose (Part A, Participant- and Investigator-Blind) and Repeated-Dose (Part B, Participant-, Investigator………...")</f>
        <v>NCT04643457 - A Phase I/IIA, Randomized, Placebo-Controlled, Single-Ascending Dose (Part A, Participant- and Investigator-Blind) and Repeated-Dose (Part B, Participant-, Investigator………...</v>
      </c>
      <c r="C32" s="26" t="s">
        <v>197</v>
      </c>
      <c r="D32" s="26" t="s">
        <v>239</v>
      </c>
      <c r="E32" s="2" t="s">
        <v>240</v>
      </c>
      <c r="F32" s="28" t="s">
        <v>197</v>
      </c>
      <c r="G32" s="51"/>
    </row>
    <row r="33" spans="1:7" s="6" customFormat="1" ht="16" customHeight="1" x14ac:dyDescent="0.25">
      <c r="A33" s="50">
        <v>29</v>
      </c>
      <c r="B33" s="8" t="str">
        <f>HYPERLINK("https://clinicaltrials.gov/study/NCT04718870","NCT04718870 - Open-label Exploratory Study to Evaluate the Effect of Dupilumab on Skin Barrier Function in Pediatric Patients With Moderate to Severe Atopic Dermatitis")</f>
        <v>NCT04718870 - Open-label Exploratory Study to Evaluate the Effect of Dupilumab on Skin Barrier Function in Pediatric Patients With Moderate to Severe Atopic Dermatitis</v>
      </c>
      <c r="C33" s="26" t="s">
        <v>238</v>
      </c>
      <c r="D33" s="26" t="s">
        <v>916</v>
      </c>
      <c r="E33" s="2" t="s">
        <v>938</v>
      </c>
      <c r="F33" s="28" t="s">
        <v>978</v>
      </c>
      <c r="G33" s="51"/>
    </row>
    <row r="34" spans="1:7" s="6" customFormat="1" ht="16" customHeight="1" x14ac:dyDescent="0.25">
      <c r="A34" s="50">
        <v>30</v>
      </c>
      <c r="B34" s="8" t="str">
        <f>HYPERLINK("https://ClinicalTrials.gov/show/NCT04737304","NCT04737304 - A First-in-Human, Double-Blind, Randomised, Vehicle Controlled Phase I/II Proof of Concept Study to Investigate the Safety, Tolerability, Pharmacokinetics and Efficacy of BEN2293 in Patients With Mild to Moderate Atopic Dermatitis")</f>
        <v>NCT04737304 - A First-in-Human, Double-Blind, Randomised, Vehicle Controlled Phase I/II Proof of Concept Study to Investigate the Safety, Tolerability, Pharmacokinetics and Efficacy of BEN2293 in Patients With Mild to Moderate Atopic Dermatitis</v>
      </c>
      <c r="C34" s="26" t="s">
        <v>197</v>
      </c>
      <c r="D34" s="26" t="s">
        <v>232</v>
      </c>
      <c r="E34" s="2" t="s">
        <v>233</v>
      </c>
      <c r="F34" s="28" t="s">
        <v>197</v>
      </c>
      <c r="G34" s="51"/>
    </row>
    <row r="35" spans="1:7" s="6" customFormat="1" ht="16" customHeight="1" x14ac:dyDescent="0.25">
      <c r="A35" s="50">
        <v>31</v>
      </c>
      <c r="B35" s="8" t="str">
        <f>HYPERLINK("https://ClinicalTrials.gov/show/NCT04750161","NCT04750161 - The Role Of Neutrophil Proteases As Global Regulators Of Il-1 Family Cytokine Activity In Skin Disorders")</f>
        <v>NCT04750161 - The Role Of Neutrophil Proteases As Global Regulators Of Il-1 Family Cytokine Activity In Skin Disorders</v>
      </c>
      <c r="C35" s="26" t="s">
        <v>896</v>
      </c>
      <c r="D35" s="26" t="s">
        <v>247</v>
      </c>
      <c r="E35" s="2" t="s">
        <v>248</v>
      </c>
      <c r="F35" s="28" t="s">
        <v>906</v>
      </c>
      <c r="G35" s="51"/>
    </row>
    <row r="36" spans="1:7" s="6" customFormat="1" ht="16" customHeight="1" x14ac:dyDescent="0.25">
      <c r="A36" s="50">
        <v>32</v>
      </c>
      <c r="B36" s="8" t="str">
        <f>HYPERLINK("https://ClinicalTrials.gov/show/NCT04927195","NCT04927195 - A Ph1a/1b, First in Human, Participant and Investigator-blind Sponsor-unblinded Randomized Placebo-controlled Multiple Dose Study of EDP1867 in Healthy Volunteers………...")</f>
        <v>NCT04927195 - A Ph1a/1b, First in Human, Participant and Investigator-blind Sponsor-unblinded Randomized Placebo-controlled Multiple Dose Study of EDP1867 in Healthy Volunteers………...</v>
      </c>
      <c r="C36" s="26" t="s">
        <v>897</v>
      </c>
      <c r="D36" s="26" t="s">
        <v>243</v>
      </c>
      <c r="E36" s="2" t="s">
        <v>244</v>
      </c>
      <c r="F36" s="28" t="s">
        <v>906</v>
      </c>
      <c r="G36" s="51"/>
    </row>
    <row r="37" spans="1:7" s="6" customFormat="1" ht="16" customHeight="1" x14ac:dyDescent="0.25">
      <c r="A37" s="50">
        <v>33</v>
      </c>
      <c r="B37" s="8" t="str">
        <f>HYPERLINK("https://clinicaltrials.gov/study/NCT05031754","NCT05031754 - Assessing SleeP IN Infants With Early-onset Atopic Dermatitis by Longitudinal Evaluation")</f>
        <v>NCT05031754 - Assessing SleeP IN Infants With Early-onset Atopic Dermatitis by Longitudinal Evaluation</v>
      </c>
      <c r="C37" s="26" t="s">
        <v>197</v>
      </c>
      <c r="D37" s="26" t="s">
        <v>933</v>
      </c>
      <c r="E37" s="2" t="s">
        <v>955</v>
      </c>
      <c r="F37" s="28" t="s">
        <v>978</v>
      </c>
      <c r="G37" s="51"/>
    </row>
    <row r="38" spans="1:7" s="6" customFormat="1" ht="16" customHeight="1" x14ac:dyDescent="0.25">
      <c r="A38" s="50">
        <v>34</v>
      </c>
      <c r="B38" s="8" t="str">
        <f>HYPERLINK("https://ClinicalTrials.gov/show/NCT05131477","NCT05131477 - A Phase IIb, Randomized, Double-blind, Placebo-controlled, Parallel Group, Multicenter Dose Ranging Study of a Subcutaneous Anti-OX40L Monoclonal Antibody (KY1005) in Moderate-to-Severe Atopic Dermatitis")</f>
        <v>NCT05131477 - A Phase IIb, Randomized, Double-blind, Placebo-controlled, Parallel Group, Multicenter Dose Ranging Study of a Subcutaneous Anti-OX40L Monoclonal Antibody (KY1005) in Moderate-to-Severe Atopic Dermatitis</v>
      </c>
      <c r="C38" s="26" t="s">
        <v>200</v>
      </c>
      <c r="D38" s="26" t="s">
        <v>201</v>
      </c>
      <c r="E38" s="2" t="s">
        <v>202</v>
      </c>
      <c r="F38" s="28" t="s">
        <v>197</v>
      </c>
      <c r="G38" s="51"/>
    </row>
    <row r="39" spans="1:7" s="6" customFormat="1" ht="16" customHeight="1" x14ac:dyDescent="0.25">
      <c r="A39" s="50">
        <v>35</v>
      </c>
      <c r="B39" s="8" t="str">
        <f>HYPERLINK("https://ClinicalTrials.gov/show/NCT05149313","NCT05149313 - A Randomised, Double-Blind, Placebo-Controlled Phase 3 Clinical Trial to Assess the Efficacy and Safety of Lebrikizumab in Combination With Topical Corticosteroids…………..")</f>
        <v>NCT05149313 - A Randomised, Double-Blind, Placebo-Controlled Phase 3 Clinical Trial to Assess the Efficacy and Safety of Lebrikizumab in Combination With Topical Corticosteroids…………..</v>
      </c>
      <c r="C39" s="26" t="s">
        <v>987</v>
      </c>
      <c r="D39" s="26" t="s">
        <v>221</v>
      </c>
      <c r="E39" s="2" t="s">
        <v>222</v>
      </c>
      <c r="F39" s="28" t="s">
        <v>197</v>
      </c>
      <c r="G39" s="51"/>
    </row>
    <row r="40" spans="1:7" s="6" customFormat="1" ht="16" customHeight="1" x14ac:dyDescent="0.25">
      <c r="A40" s="50">
        <v>36</v>
      </c>
      <c r="B40" s="8" t="str">
        <f>HYPERLINK("https://ClinicalTrials.gov/show/NCT05375955","NCT05375955 - A Phase 2b, Randomized, Double Blind, Vehicle Controlled, Parallel Group Study To Assess The Efficacy, Safety, Tolerability And Pharmacokinetics Of Multiple Dose Levels………...")</f>
        <v>NCT05375955 - A Phase 2b, Randomized, Double Blind, Vehicle Controlled, Parallel Group Study To Assess The Efficacy, Safety, Tolerability And Pharmacokinetics Of Multiple Dose Levels………...</v>
      </c>
      <c r="C40" s="26" t="s">
        <v>898</v>
      </c>
      <c r="D40" s="26" t="s">
        <v>301</v>
      </c>
      <c r="E40" s="2" t="s">
        <v>302</v>
      </c>
      <c r="F40" s="28" t="s">
        <v>906</v>
      </c>
      <c r="G40" s="51"/>
    </row>
    <row r="41" spans="1:7" s="6" customFormat="1" ht="16" customHeight="1" x14ac:dyDescent="0.25">
      <c r="A41" s="50">
        <v>37</v>
      </c>
      <c r="B41" s="8" t="str">
        <f>HYPERLINK("https://clinicaltrials.gov/study/NCT05388760","NCT05388760 - Open-label Exploratory Study to Evaluate the Effect of Dupilumab on Skin Barrier Function in Pediatric Patients With Moderate to Severe Atopic Dermatitis")</f>
        <v>NCT05388760 - Open-label Exploratory Study to Evaluate the Effect of Dupilumab on Skin Barrier Function in Pediatric Patients With Moderate to Severe Atopic Dermatitis</v>
      </c>
      <c r="C41" s="26" t="s">
        <v>197</v>
      </c>
      <c r="D41" s="26" t="s">
        <v>917</v>
      </c>
      <c r="E41" s="2" t="s">
        <v>939</v>
      </c>
      <c r="F41" s="28" t="s">
        <v>978</v>
      </c>
      <c r="G41" s="51"/>
    </row>
    <row r="42" spans="1:7" s="6" customFormat="1" ht="16" customHeight="1" x14ac:dyDescent="0.25">
      <c r="A42" s="50">
        <v>38</v>
      </c>
      <c r="B42" s="8" t="str">
        <f>HYPERLINK("https://clinicaltrials.gov/study/NCT05454722","NCT05454722 - A Study to Evaluate the Performance of Adex Gel in the Treatment of Atopic Eczema Using SCORAD and Quality of Life Assessments.")</f>
        <v>NCT05454722 - A Study to Evaluate the Performance of Adex Gel in the Treatment of Atopic Eczema Using SCORAD and Quality of Life Assessments.</v>
      </c>
      <c r="C42" s="26" t="s">
        <v>223</v>
      </c>
      <c r="D42" s="26" t="s">
        <v>836</v>
      </c>
      <c r="E42" s="2" t="s">
        <v>837</v>
      </c>
      <c r="F42" s="28" t="s">
        <v>197</v>
      </c>
      <c r="G42" s="51"/>
    </row>
    <row r="43" spans="1:7" s="6" customFormat="1" ht="16" customHeight="1" x14ac:dyDescent="0.25">
      <c r="A43" s="50">
        <v>39</v>
      </c>
      <c r="B43" s="8" t="str">
        <f>HYPERLINK("https://ClinicalTrials.gov/show/NCT05492578","NCT05492578 - A Long-term Extension Study to Evaluate the Long-term Safety, Tolerability and Efficacy of Subcutaneous Amlitelimab in Participants of Previous Amlitelimab Clinical Trials in Moderate to Severe Atopic Dermatitis.")</f>
        <v>NCT05492578 - A Long-term Extension Study to Evaluate the Long-term Safety, Tolerability and Efficacy of Subcutaneous Amlitelimab in Participants of Previous Amlitelimab Clinical Trials in Moderate to Severe Atopic Dermatitis.</v>
      </c>
      <c r="C43" s="26" t="s">
        <v>238</v>
      </c>
      <c r="D43" s="26" t="s">
        <v>305</v>
      </c>
      <c r="E43" s="2" t="s">
        <v>306</v>
      </c>
      <c r="F43" s="28" t="s">
        <v>197</v>
      </c>
      <c r="G43" s="51"/>
    </row>
    <row r="44" spans="1:7" s="6" customFormat="1" ht="16" customHeight="1" x14ac:dyDescent="0.25">
      <c r="A44" s="50">
        <v>40</v>
      </c>
      <c r="B44" s="8" t="str">
        <f>HYPERLINK("https://clinicaltrials.gov/study/NCT05507580","NCT05507580 - A Phase 3b/4 Randomized, Blinded, Treat-to-Target and Dose-Flexibility Study of Upadacitinib in Adult Subjects With Moderate to Severe Atopic Dermatitis")</f>
        <v>NCT05507580 - A Phase 3b/4 Randomized, Blinded, Treat-to-Target and Dose-Flexibility Study of Upadacitinib in Adult Subjects With Moderate to Severe Atopic Dermatitis</v>
      </c>
      <c r="C44" s="26" t="s">
        <v>197</v>
      </c>
      <c r="D44" s="26" t="s">
        <v>838</v>
      </c>
      <c r="E44" s="2" t="s">
        <v>839</v>
      </c>
      <c r="F44" s="28" t="s">
        <v>197</v>
      </c>
      <c r="G44" s="51"/>
    </row>
    <row r="45" spans="1:7" s="6" customFormat="1" ht="16" customHeight="1" x14ac:dyDescent="0.25">
      <c r="A45" s="50">
        <v>41</v>
      </c>
      <c r="B45" s="8" t="str">
        <f>HYPERLINK("https://clinicaltrials.gov/study/NCT05633355","NCT05633355 - A Phase 3, Open-label, 52-week Study to Assess the Safety, Tolerability, and Efficacy of Rocatinlimab (AMG 451) in Adolescent Subjects Aged ≥ 12 to &lt; 18 Years With Moderate-to-severe Atopic Dermatitis (AD) (ROCKET-Orbit)")</f>
        <v>NCT05633355 - A Phase 3, Open-label, 52-week Study to Assess the Safety, Tolerability, and Efficacy of Rocatinlimab (AMG 451) in Adolescent Subjects Aged ≥ 12 to &lt; 18 Years With Moderate-to-severe Atopic Dermatitis (AD) (ROCKET-Orbit)</v>
      </c>
      <c r="C45" s="26" t="s">
        <v>197</v>
      </c>
      <c r="D45" s="26" t="s">
        <v>840</v>
      </c>
      <c r="E45" s="2" t="s">
        <v>841</v>
      </c>
      <c r="F45" s="28" t="s">
        <v>197</v>
      </c>
      <c r="G45" s="51"/>
    </row>
    <row r="46" spans="1:7" s="6" customFormat="1" ht="16" customHeight="1" x14ac:dyDescent="0.25">
      <c r="A46" s="50">
        <v>42</v>
      </c>
      <c r="B46" s="8" t="str">
        <f>HYPERLINK("https://clinicaltrials.gov/study/NCT05651711","NCT05651711 - A Phase 3, Randomized, 24-week, Placebo-controlled, Double-blind Study to Assess the Efficacy, Safety and Tolerability of Rocatinlimab (AMG 451) Monotherapy in Adult Subjects With Moderate-to-severe Atopic Dermatitis (AD) (ROCKET-Horizon)")</f>
        <v>NCT05651711 - A Phase 3, Randomized, 24-week, Placebo-controlled, Double-blind Study to Assess the Efficacy, Safety and Tolerability of Rocatinlimab (AMG 451) Monotherapy in Adult Subjects With Moderate-to-severe Atopic Dermatitis (AD) (ROCKET-Horizon)</v>
      </c>
      <c r="C46" s="26" t="s">
        <v>197</v>
      </c>
      <c r="D46" s="26" t="s">
        <v>842</v>
      </c>
      <c r="E46" s="2" t="s">
        <v>843</v>
      </c>
      <c r="F46" s="28" t="s">
        <v>197</v>
      </c>
      <c r="G46" s="51"/>
    </row>
    <row r="47" spans="1:7" s="6" customFormat="1" ht="16" customHeight="1" x14ac:dyDescent="0.25">
      <c r="A47" s="50">
        <v>43</v>
      </c>
      <c r="B47" s="8" t="str">
        <f>HYPERLINK("https://ClinicalTrials.gov/show/NCT05656911","NCT05656911 - A Randomized, Placebo-controlled, Double-blind, Parallel-group, Multicenter Phase 2a Study to Investigate Efficacy and Safety of Zabedosertib (BAY 1834845) for the Treatment of Adult Patients With Moderate-to-severe Atopic Dermatitis")</f>
        <v>NCT05656911 - A Randomized, Placebo-controlled, Double-blind, Parallel-group, Multicenter Phase 2a Study to Investigate Efficacy and Safety of Zabedosertib (BAY 1834845) for the Treatment of Adult Patients With Moderate-to-severe Atopic Dermatitis</v>
      </c>
      <c r="C47" s="26" t="s">
        <v>197</v>
      </c>
      <c r="D47" s="26" t="s">
        <v>303</v>
      </c>
      <c r="E47" s="2" t="s">
        <v>304</v>
      </c>
      <c r="F47" s="28" t="s">
        <v>197</v>
      </c>
      <c r="G47" s="51"/>
    </row>
    <row r="48" spans="1:7" s="6" customFormat="1" ht="16" customHeight="1" x14ac:dyDescent="0.25">
      <c r="A48" s="50">
        <v>44</v>
      </c>
      <c r="B48" s="8" t="str">
        <f>HYPERLINK("https://clinicaltrials.gov/study/NCT05724199","NCT05724199 - A Phase 3, Randomized, 24-week, Placebo-controlled, Double-blind Study to Assess the Efficacy, Safety, and Tolerability of Rocatinlimab (AMG 451) in Combination With Topical ……..")</f>
        <v>NCT05724199 - A Phase 3, Randomized, 24-week, Placebo-controlled, Double-blind Study to Assess the Efficacy, Safety, and Tolerability of Rocatinlimab (AMG 451) in Combination With Topical ……..</v>
      </c>
      <c r="C48" s="26" t="s">
        <v>197</v>
      </c>
      <c r="D48" s="26" t="s">
        <v>844</v>
      </c>
      <c r="E48" s="2" t="s">
        <v>845</v>
      </c>
      <c r="F48" s="28" t="s">
        <v>197</v>
      </c>
      <c r="G48" s="51"/>
    </row>
    <row r="49" spans="1:7" s="6" customFormat="1" ht="16" customHeight="1" x14ac:dyDescent="0.25">
      <c r="A49" s="50">
        <v>45</v>
      </c>
      <c r="B49" s="8" t="str">
        <f>HYPERLINK("https://clinicaltrials.gov/study/NCT05769777","NCT05769777 - An Open-Label Multinational, Multicenter Study to Evaluate the Long-term Safety, Tolerability and Efficacy of Subcutaneous Amlitelimab in Adult Participants With Moderate to Severe Atopic Dermatitis")</f>
        <v>NCT05769777 - An Open-Label Multinational, Multicenter Study to Evaluate the Long-term Safety, Tolerability and Efficacy of Subcutaneous Amlitelimab in Adult Participants With Moderate to Severe Atopic Dermatitis</v>
      </c>
      <c r="C49" s="26" t="s">
        <v>238</v>
      </c>
      <c r="D49" s="26" t="s">
        <v>846</v>
      </c>
      <c r="E49" s="2" t="s">
        <v>847</v>
      </c>
      <c r="F49" s="28" t="s">
        <v>197</v>
      </c>
      <c r="G49" s="51"/>
    </row>
    <row r="50" spans="1:7" s="6" customFormat="1" ht="16" customHeight="1" x14ac:dyDescent="0.25">
      <c r="A50" s="50">
        <v>46</v>
      </c>
      <c r="B50" s="8" t="str">
        <f>HYPERLINK("https://ClinicalTrials.gov/show/NCT05790330","NCT05790330 - Mind and Skin': A Prospective Cohort Study Evaluating the Impact of Inflammation, Itch and Sleep Disturbance on the Brain, Mental Health and Cognition, in Patients With Severe Atopy")</f>
        <v>NCT05790330 - Mind and Skin': A Prospective Cohort Study Evaluating the Impact of Inflammation, Itch and Sleep Disturbance on the Brain, Mental Health and Cognition, in Patients With Severe Atopy</v>
      </c>
      <c r="C50" s="26" t="s">
        <v>197</v>
      </c>
      <c r="D50" s="26" t="s">
        <v>299</v>
      </c>
      <c r="E50" s="2" t="s">
        <v>300</v>
      </c>
      <c r="F50" s="28" t="s">
        <v>197</v>
      </c>
      <c r="G50" s="51"/>
    </row>
    <row r="51" spans="1:7" s="6" customFormat="1" ht="16" customHeight="1" x14ac:dyDescent="0.25">
      <c r="A51" s="50">
        <v>47</v>
      </c>
      <c r="B51" s="8" t="str">
        <f>HYPERLINK("https://clinicaltrials.gov/study/NCT05923099","NCT05923099 - A Phase 2b, Randomized, Double-blind, Placebo-controlled, Multi-site, Parallel-group, Dose-finding Trial to Evaluate the Efficacy and Safety of Different Doses of Subcutaneously.............")</f>
        <v>NCT05923099 - A Phase 2b, Randomized, Double-blind, Placebo-controlled, Multi-site, Parallel-group, Dose-finding Trial to Evaluate the Efficacy and Safety of Different Doses of Subcutaneously.............</v>
      </c>
      <c r="C51" s="52" t="s">
        <v>990</v>
      </c>
      <c r="D51" s="26" t="s">
        <v>848</v>
      </c>
      <c r="E51" s="2" t="s">
        <v>849</v>
      </c>
      <c r="F51" s="28" t="s">
        <v>197</v>
      </c>
      <c r="G51" s="51"/>
    </row>
    <row r="52" spans="1:7" s="6" customFormat="1" ht="16" customHeight="1" x14ac:dyDescent="0.25">
      <c r="A52" s="50">
        <v>48</v>
      </c>
      <c r="B52" s="8" t="str">
        <f>HYPERLINK("https://clinicaltrials.gov/study/NCT06119529","NCT06119529 - A Phase 1, Multicenter, Randomized, Placebo-Controlled, Double-Blind, Single-Ascending Dose Study of LY3872386 in Healthy Participants, a Multiple-Ascending Dose Study………..")</f>
        <v>NCT06119529 - A Phase 1, Multicenter, Randomized, Placebo-Controlled, Double-Blind, Single-Ascending Dose Study of LY3872386 in Healthy Participants, a Multiple-Ascending Dose Study………..</v>
      </c>
      <c r="C52" s="26" t="s">
        <v>899</v>
      </c>
      <c r="D52" s="26" t="s">
        <v>850</v>
      </c>
      <c r="E52" s="2" t="s">
        <v>851</v>
      </c>
      <c r="F52" s="28" t="s">
        <v>197</v>
      </c>
      <c r="G52" s="51"/>
    </row>
    <row r="53" spans="1:7" s="6" customFormat="1" ht="16" customHeight="1" x14ac:dyDescent="0.25">
      <c r="A53" s="50">
        <v>49</v>
      </c>
      <c r="B53" s="8" t="str">
        <f>HYPERLINK("https://pubmed.ncbi.nlm.nih.gov/29906525","PMID: 29906525 - Treatment of atopic dermatitis with tralokinumab, an anti-IL-13 mAb")</f>
        <v>PMID: 29906525 - Treatment of atopic dermatitis with tralokinumab, an anti-IL-13 mAb</v>
      </c>
      <c r="C53" s="26" t="s">
        <v>197</v>
      </c>
      <c r="D53" s="26" t="s">
        <v>254</v>
      </c>
      <c r="E53" s="2" t="s">
        <v>255</v>
      </c>
      <c r="F53" s="28" t="s">
        <v>197</v>
      </c>
      <c r="G53" s="51"/>
    </row>
    <row r="54" spans="1:7" s="6" customFormat="1" ht="16" customHeight="1" x14ac:dyDescent="0.25">
      <c r="A54" s="50">
        <v>50</v>
      </c>
      <c r="B54" s="8" t="str">
        <f>HYPERLINK("https://pubmed.ncbi.nlm.nih.gov/30414855","PMID: 30414855 - Efficacy and safety of the histamine H(4) receptor antagonist ZPL-3893787 in patients with atopic dermatitis")</f>
        <v>PMID: 30414855 - Efficacy and safety of the histamine H(4) receptor antagonist ZPL-3893787 in patients with atopic dermatitis</v>
      </c>
      <c r="C54" s="26" t="s">
        <v>197</v>
      </c>
      <c r="D54" s="26" t="s">
        <v>274</v>
      </c>
      <c r="E54" s="2" t="s">
        <v>275</v>
      </c>
      <c r="F54" s="28" t="s">
        <v>197</v>
      </c>
      <c r="G54" s="51"/>
    </row>
    <row r="55" spans="1:7" s="6" customFormat="1" ht="16" customHeight="1" x14ac:dyDescent="0.25">
      <c r="A55" s="50">
        <v>51</v>
      </c>
      <c r="B55" s="8" t="str">
        <f>HYPERLINK("https://pubmed.ncbi.nlm.nih.gov/30550828","PMID: 30550828 - Tezepelumab, an anti-thymic stromal lymphopoietin monoclonal antibody, in the treatment of moderate to severe atopic dermatitis: A randomized phase 2a clinical trial")</f>
        <v>PMID: 30550828 - Tezepelumab, an anti-thymic stromal lymphopoietin monoclonal antibody, in the treatment of moderate to severe atopic dermatitis: A randomized phase 2a clinical trial</v>
      </c>
      <c r="C55" s="26" t="s">
        <v>197</v>
      </c>
      <c r="D55" s="26" t="s">
        <v>266</v>
      </c>
      <c r="E55" s="2" t="s">
        <v>267</v>
      </c>
      <c r="F55" s="28" t="s">
        <v>197</v>
      </c>
      <c r="G55" s="51"/>
    </row>
    <row r="56" spans="1:7" s="6" customFormat="1" ht="16" customHeight="1" x14ac:dyDescent="0.25">
      <c r="A56" s="50">
        <v>52</v>
      </c>
      <c r="B56" s="8" t="str">
        <f>HYPERLINK("https://pubmed.ncbi.nlm.nih.gov/31076476","PMID: 31076476 - TEST (Trial of Eczema allergy Screening Tests): protocol for feasibility randomised controlled trial of allergy tests in children with eczema, including economic scoping and nested qualitative study")</f>
        <v>PMID: 31076476 - TEST (Trial of Eczema allergy Screening Tests): protocol for feasibility randomised controlled trial of allergy tests in children with eczema, including economic scoping and nested qualitative study</v>
      </c>
      <c r="C56" s="26" t="s">
        <v>197</v>
      </c>
      <c r="D56" s="26" t="s">
        <v>918</v>
      </c>
      <c r="E56" s="2" t="s">
        <v>940</v>
      </c>
      <c r="F56" s="28" t="s">
        <v>978</v>
      </c>
      <c r="G56" s="51"/>
    </row>
    <row r="57" spans="1:7" s="6" customFormat="1" ht="16" customHeight="1" x14ac:dyDescent="0.25">
      <c r="A57" s="50">
        <v>53</v>
      </c>
      <c r="B57" s="8" t="str">
        <f>HYPERLINK("https://pubmed.ncbi.nlm.nih.gov/31081565","PMID: 31081565 - Associations of atopic dermatitis and asthma with child behaviour: Results from the PROBIT cohort")</f>
        <v>PMID: 31081565 - Associations of atopic dermatitis and asthma with child behaviour: Results from the PROBIT cohort</v>
      </c>
      <c r="C57" s="26" t="s">
        <v>197</v>
      </c>
      <c r="D57" s="26" t="s">
        <v>919</v>
      </c>
      <c r="E57" s="2" t="s">
        <v>941</v>
      </c>
      <c r="F57" s="28" t="s">
        <v>978</v>
      </c>
      <c r="G57" s="51"/>
    </row>
    <row r="58" spans="1:7" s="6" customFormat="1" ht="16" customHeight="1" x14ac:dyDescent="0.25">
      <c r="A58" s="50">
        <v>54</v>
      </c>
      <c r="B58" s="8" t="str">
        <f>HYPERLINK("https://pubmed.ncbi.nlm.nih.gov/31160034","PMID: 31160034 - Association of Staphylococcus aureus colonization with food allergy occurs independently of eczema severity")</f>
        <v>PMID: 31160034 - Association of Staphylococcus aureus colonization with food allergy occurs independently of eczema severity</v>
      </c>
      <c r="C58" s="26" t="s">
        <v>200</v>
      </c>
      <c r="D58" s="26" t="s">
        <v>258</v>
      </c>
      <c r="E58" s="2" t="s">
        <v>259</v>
      </c>
      <c r="F58" s="28" t="s">
        <v>197</v>
      </c>
      <c r="G58" s="51"/>
    </row>
    <row r="59" spans="1:7" s="6" customFormat="1" ht="16" customHeight="1" x14ac:dyDescent="0.25">
      <c r="A59" s="50">
        <v>55</v>
      </c>
      <c r="B59" s="8" t="str">
        <f>HYPERLINK("https://pubmed.ncbi.nlm.nih.gov/31179791","PMID: 31179791 - Dupilumab improves patient-reported symptoms of atopic dermatitis, symptoms of anxiety and depression, and health-related quality of life in moderate-to-severe atopic dermatitis: analysis of pooled data from the randomized trials....")</f>
        <v>PMID: 31179791 - Dupilumab improves patient-reported symptoms of atopic dermatitis, symptoms of anxiety and depression, and health-related quality of life in moderate-to-severe atopic dermatitis: analysis of pooled data from the randomized trials....</v>
      </c>
      <c r="C59" s="26" t="s">
        <v>197</v>
      </c>
      <c r="D59" s="26" t="s">
        <v>268</v>
      </c>
      <c r="E59" s="2" t="s">
        <v>269</v>
      </c>
      <c r="F59" s="28" t="s">
        <v>197</v>
      </c>
      <c r="G59" s="51"/>
    </row>
    <row r="60" spans="1:7" s="6" customFormat="1" ht="16" customHeight="1" x14ac:dyDescent="0.25">
      <c r="A60" s="50">
        <v>56</v>
      </c>
      <c r="B60" s="8" t="str">
        <f>HYPERLINK("https://pubmed.ncbi.nlm.nih.gov/31419544","PMID: 31419544 - Crisaborole and atopic dermatitis skin biomarkers: An intrapatient randomized trial")</f>
        <v>PMID: 31419544 - Crisaborole and atopic dermatitis skin biomarkers: An intrapatient randomized trial</v>
      </c>
      <c r="C60" s="26" t="s">
        <v>197</v>
      </c>
      <c r="D60" s="26" t="s">
        <v>365</v>
      </c>
      <c r="E60" s="2" t="s">
        <v>366</v>
      </c>
      <c r="F60" s="28" t="s">
        <v>197</v>
      </c>
      <c r="G60" s="51"/>
    </row>
    <row r="61" spans="1:7" s="6" customFormat="1" ht="16" customHeight="1" x14ac:dyDescent="0.25">
      <c r="A61" s="50">
        <v>57</v>
      </c>
      <c r="B61" s="8" t="str">
        <f>HYPERLINK("https://pubmed.ncbi.nlm.nih.gov/31441980","PMID: 31441980 - Differential associations of allergic disease genetic variants with developmental profiles of eczema, wheeze and rhinitis")</f>
        <v>PMID: 31441980 - Differential associations of allergic disease genetic variants with developmental profiles of eczema, wheeze and rhinitis</v>
      </c>
      <c r="C61" s="26" t="s">
        <v>200</v>
      </c>
      <c r="D61" s="26" t="s">
        <v>264</v>
      </c>
      <c r="E61" s="2" t="s">
        <v>265</v>
      </c>
      <c r="F61" s="28" t="s">
        <v>197</v>
      </c>
      <c r="G61" s="51"/>
    </row>
    <row r="62" spans="1:7" s="6" customFormat="1" ht="16" customHeight="1" x14ac:dyDescent="0.25">
      <c r="A62" s="50">
        <v>58</v>
      </c>
      <c r="B62" s="8" t="str">
        <f>HYPERLINK("https://pubmed.ncbi.nlm.nih.gov/31543428","PMID: 31543428 - Efficacy and safety of dupilumab in patients with severe chronic rhinosinusitis with nasal polyps (LIBERTY NP SINUS-24 and LIBERTY NP SINUS-52): results from two multicentre………….")</f>
        <v>PMID: 31543428 - Efficacy and safety of dupilumab in patients with severe chronic rhinosinusitis with nasal polyps (LIBERTY NP SINUS-24 and LIBERTY NP SINUS-52): results from two multicentre………….</v>
      </c>
      <c r="C62" s="26" t="s">
        <v>197</v>
      </c>
      <c r="D62" s="26" t="s">
        <v>852</v>
      </c>
      <c r="E62" s="2" t="s">
        <v>853</v>
      </c>
      <c r="F62" s="28" t="s">
        <v>197</v>
      </c>
      <c r="G62" s="51"/>
    </row>
    <row r="63" spans="1:7" s="6" customFormat="1" ht="16" customHeight="1" x14ac:dyDescent="0.25">
      <c r="A63" s="50">
        <v>59</v>
      </c>
      <c r="B63" s="8" t="str">
        <f>HYPERLINK("https://pubmed.ncbi.nlm.nih.gov/31583813","PMID: 31583813 - Effects of family constellation seminars on itch in patients with atopic dermatitis and psoriasis: A patient preference controlled trial")</f>
        <v>PMID: 31583813 - Effects of family constellation seminars on itch in patients with atopic dermatitis and psoriasis: A patient preference controlled trial</v>
      </c>
      <c r="C63" s="26" t="s">
        <v>906</v>
      </c>
      <c r="D63" s="26" t="s">
        <v>355</v>
      </c>
      <c r="E63" s="2" t="s">
        <v>356</v>
      </c>
      <c r="F63" s="28" t="s">
        <v>906</v>
      </c>
      <c r="G63" s="51"/>
    </row>
    <row r="64" spans="1:7" s="6" customFormat="1" ht="16" customHeight="1" x14ac:dyDescent="0.25">
      <c r="A64" s="50">
        <v>60</v>
      </c>
      <c r="B64" s="8" t="str">
        <f>HYPERLINK("https://pubmed.ncbi.nlm.nih.gov/31595499","PMID: 31595499 - Dupilumab in adolescents with uncontrolled moderate-to-severe atopic dermatitis: results from a phase IIa open-label trial and subsequent phase III open-label extension")</f>
        <v>PMID: 31595499 - Dupilumab in adolescents with uncontrolled moderate-to-severe atopic dermatitis: results from a phase IIa open-label trial and subsequent phase III open-label extension</v>
      </c>
      <c r="C64" s="26" t="s">
        <v>197</v>
      </c>
      <c r="D64" s="26" t="s">
        <v>260</v>
      </c>
      <c r="E64" s="2" t="s">
        <v>261</v>
      </c>
      <c r="F64" s="28" t="s">
        <v>197</v>
      </c>
      <c r="G64" s="51"/>
    </row>
    <row r="65" spans="1:7" s="6" customFormat="1" ht="16" customHeight="1" x14ac:dyDescent="0.25">
      <c r="A65" s="50">
        <v>61</v>
      </c>
      <c r="B65" s="8" t="str">
        <f>HYPERLINK("https://pubmed.ncbi.nlm.nih.gov/31645451","PMID: 31645451 - Proof-of-concept clinical trial of etokimab shows a key role for IL-33 in atopic dermatitis pathogenesis")</f>
        <v>PMID: 31645451 - Proof-of-concept clinical trial of etokimab shows a key role for IL-33 in atopic dermatitis pathogenesis</v>
      </c>
      <c r="C65" s="26" t="s">
        <v>197</v>
      </c>
      <c r="D65" s="26" t="s">
        <v>272</v>
      </c>
      <c r="E65" s="2" t="s">
        <v>273</v>
      </c>
      <c r="F65" s="28" t="s">
        <v>197</v>
      </c>
      <c r="G65" s="51"/>
    </row>
    <row r="66" spans="1:7" s="6" customFormat="1" ht="16" customHeight="1" x14ac:dyDescent="0.25">
      <c r="A66" s="50">
        <v>62</v>
      </c>
      <c r="B66" s="8" t="str">
        <f>HYPERLINK("https://pubmed.ncbi.nlm.nih.gov/31764962","PMID: 31764962 - Treatment Effect of Omalizumab on Severe Pediatric Atopic Dermatitis: The ADAPT Randomized Clinical Trial")</f>
        <v>PMID: 31764962 - Treatment Effect of Omalizumab on Severe Pediatric Atopic Dermatitis: The ADAPT Randomized Clinical Trial</v>
      </c>
      <c r="C66" s="26" t="s">
        <v>197</v>
      </c>
      <c r="D66" s="26" t="s">
        <v>920</v>
      </c>
      <c r="E66" s="2" t="s">
        <v>942</v>
      </c>
      <c r="F66" s="28" t="s">
        <v>978</v>
      </c>
      <c r="G66" s="51"/>
    </row>
    <row r="67" spans="1:7" s="6" customFormat="1" ht="16" customHeight="1" x14ac:dyDescent="0.25">
      <c r="A67" s="50">
        <v>63</v>
      </c>
      <c r="B67" s="8" t="str">
        <f>HYPERLINK("https://pubmed.ncbi.nlm.nih.gov/31876900","PMID: 31876900 - Efficacy and Safety of Multiple Dupilumab Dose Regimens After Initial Successful Treatment in Patients With Atopic Dermatitis: A Randomized Clinical Trial")</f>
        <v>PMID: 31876900 - Efficacy and Safety of Multiple Dupilumab Dose Regimens After Initial Successful Treatment in Patients With Atopic Dermatitis: A Randomized Clinical Trial</v>
      </c>
      <c r="C67" s="26" t="s">
        <v>197</v>
      </c>
      <c r="D67" s="26" t="s">
        <v>262</v>
      </c>
      <c r="E67" s="2" t="s">
        <v>263</v>
      </c>
      <c r="F67" s="28" t="s">
        <v>197</v>
      </c>
      <c r="G67" s="51"/>
    </row>
    <row r="68" spans="1:7" s="6" customFormat="1" ht="16" customHeight="1" x14ac:dyDescent="0.25">
      <c r="A68" s="50">
        <v>64</v>
      </c>
      <c r="B68" s="8" t="str">
        <f>HYPERLINK("https://pubmed.ncbi.nlm.nih.gov/31999862","PMID: 31999862 - An algorithm for diagnosing IgE-mediated food allergy in study participants who do not undergo food challenge")</f>
        <v>PMID: 31999862 - An algorithm for diagnosing IgE-mediated food allergy in study participants who do not undergo food challenge</v>
      </c>
      <c r="C68" s="26" t="s">
        <v>197</v>
      </c>
      <c r="D68" s="26" t="s">
        <v>854</v>
      </c>
      <c r="E68" s="2" t="s">
        <v>855</v>
      </c>
      <c r="F68" s="28" t="s">
        <v>197</v>
      </c>
      <c r="G68" s="51"/>
    </row>
    <row r="69" spans="1:7" s="6" customFormat="1" ht="16" customHeight="1" x14ac:dyDescent="0.25">
      <c r="A69" s="50">
        <v>65</v>
      </c>
      <c r="B69" s="8" t="str">
        <f>HYPERLINK("https://pubmed.ncbi.nlm.nih.gov/32072618","PMID: 32072618 - Assessing the effect of clinical trial evidence and anecdote on caregivers' willingness to use corticosteroids: a randomized controlled trial: a critical appraisal")</f>
        <v>PMID: 32072618 - Assessing the effect of clinical trial evidence and anecdote on caregivers' willingness to use corticosteroids: a randomized controlled trial: a critical appraisal</v>
      </c>
      <c r="C69" s="26" t="s">
        <v>197</v>
      </c>
      <c r="D69" s="26" t="s">
        <v>369</v>
      </c>
      <c r="E69" s="2" t="s">
        <v>370</v>
      </c>
      <c r="F69" s="28" t="s">
        <v>197</v>
      </c>
      <c r="G69" s="51"/>
    </row>
    <row r="70" spans="1:7" s="6" customFormat="1" ht="16" customHeight="1" x14ac:dyDescent="0.25">
      <c r="A70" s="50">
        <v>66</v>
      </c>
      <c r="B70" s="8" t="str">
        <f>HYPERLINK("https://pubmed.ncbi.nlm.nih.gov/32087126","PMID: 32087126 - Daily emollient during infancy for prevention of eczema: the BEEP randomised controlled trial")</f>
        <v>PMID: 32087126 - Daily emollient during infancy for prevention of eczema: the BEEP randomised controlled trial</v>
      </c>
      <c r="C70" s="26" t="s">
        <v>200</v>
      </c>
      <c r="D70" s="26" t="s">
        <v>252</v>
      </c>
      <c r="E70" s="2" t="s">
        <v>253</v>
      </c>
      <c r="F70" s="28" t="s">
        <v>197</v>
      </c>
      <c r="G70" s="51"/>
    </row>
    <row r="71" spans="1:7" s="6" customFormat="1" ht="16" customHeight="1" x14ac:dyDescent="0.25">
      <c r="A71" s="50">
        <v>67</v>
      </c>
      <c r="B71" s="8" t="str">
        <f>HYPERLINK("https://pubmed.ncbi.nlm.nih.gov/32430334","PMID: 32430334 - Polygenic risk for skin autoimmunity impacts immune checkpoint blockade in bladder cancer")</f>
        <v>PMID: 32430334 - Polygenic risk for skin autoimmunity impacts immune checkpoint blockade in bladder cancer</v>
      </c>
      <c r="C71" s="26" t="s">
        <v>197</v>
      </c>
      <c r="D71" s="26" t="s">
        <v>856</v>
      </c>
      <c r="E71" s="2" t="s">
        <v>857</v>
      </c>
      <c r="F71" s="28" t="s">
        <v>197</v>
      </c>
      <c r="G71" s="51"/>
    </row>
    <row r="72" spans="1:7" s="6" customFormat="1" ht="16" customHeight="1" x14ac:dyDescent="0.25">
      <c r="A72" s="50">
        <v>68</v>
      </c>
      <c r="B72" s="8" t="str">
        <f>HYPERLINK("https://pubmed.ncbi.nlm.nih.gov/32492087","PMID: 32492087 - Efficacy and Safety of Abrocitinib in Patients With Moderate-to-Severe Atopic Dermatitis: A Randomized Clinical Trial")</f>
        <v>PMID: 32492087 - Efficacy and Safety of Abrocitinib in Patients With Moderate-to-Severe Atopic Dermatitis: A Randomized Clinical Trial</v>
      </c>
      <c r="C72" s="26" t="s">
        <v>197</v>
      </c>
      <c r="D72" s="26" t="s">
        <v>321</v>
      </c>
      <c r="E72" s="2" t="s">
        <v>322</v>
      </c>
      <c r="F72" s="28" t="s">
        <v>197</v>
      </c>
      <c r="G72" s="51"/>
    </row>
    <row r="73" spans="1:7" s="6" customFormat="1" ht="16" customHeight="1" x14ac:dyDescent="0.25">
      <c r="A73" s="50">
        <v>69</v>
      </c>
      <c r="B73" s="8" t="str">
        <f>HYPERLINK("https://pubmed.ncbi.nlm.nih.gov/32574587","PMID: 32574587 - Efficacy and safety of dupilumab with concomitant topical corticosteroids in children 6 to 11 years old with severe atopic dermatitis: A randomized, double-blinded, placebo-controlled phase 3 trial")</f>
        <v>PMID: 32574587 - Efficacy and safety of dupilumab with concomitant topical corticosteroids in children 6 to 11 years old with severe atopic dermatitis: A randomized, double-blinded, placebo-controlled phase 3 trial</v>
      </c>
      <c r="C73" s="26" t="s">
        <v>197</v>
      </c>
      <c r="D73" s="26" t="s">
        <v>921</v>
      </c>
      <c r="E73" s="2" t="s">
        <v>943</v>
      </c>
      <c r="F73" s="28" t="s">
        <v>978</v>
      </c>
      <c r="G73" s="51"/>
    </row>
    <row r="74" spans="1:7" s="6" customFormat="1" ht="16" customHeight="1" x14ac:dyDescent="0.25">
      <c r="A74" s="50">
        <v>70</v>
      </c>
      <c r="B74" s="8" t="str">
        <f>HYPERLINK("https://pubmed.ncbi.nlm.nih.gov/32711801","PMID: 32711801 - Efficacy and safety of abrocitinib in adults and adolescents with moderate-to-severe atopic dermatitis (JADE MONO-1): a multicentre, double-blind, randomised, placebo-controlled, phase 3 trial")</f>
        <v>PMID: 32711801 - Efficacy and safety of abrocitinib in adults and adolescents with moderate-to-severe atopic dermatitis (JADE MONO-1): a multicentre, double-blind, randomised, placebo-controlled, phase 3 trial</v>
      </c>
      <c r="C74" s="26" t="s">
        <v>197</v>
      </c>
      <c r="D74" s="26" t="s">
        <v>315</v>
      </c>
      <c r="E74" s="2" t="s">
        <v>316</v>
      </c>
      <c r="F74" s="28" t="s">
        <v>197</v>
      </c>
      <c r="G74" s="51"/>
    </row>
    <row r="75" spans="1:7" s="6" customFormat="1" ht="16" customHeight="1" x14ac:dyDescent="0.25">
      <c r="A75" s="50">
        <v>71</v>
      </c>
      <c r="B75" s="8" t="str">
        <f>HYPERLINK("https://pubmed.ncbi.nlm.nih.gov/32830463","PMID: 32830463 - Kinetic-Pharmacodynamic Model of Platelet Time Course in Patients With Moderate-to-Severe Atopic Dermatitis Treated With Oral Janus Kinase 1 Inhibitor Abrocitinib")</f>
        <v>PMID: 32830463 - Kinetic-Pharmacodynamic Model of Platelet Time Course in Patients With Moderate-to-Severe Atopic Dermatitis Treated With Oral Janus Kinase 1 Inhibitor Abrocitinib</v>
      </c>
      <c r="C75" s="26" t="s">
        <v>197</v>
      </c>
      <c r="D75" s="26" t="s">
        <v>282</v>
      </c>
      <c r="E75" s="2" t="s">
        <v>283</v>
      </c>
      <c r="F75" s="28" t="s">
        <v>197</v>
      </c>
      <c r="G75" s="51"/>
    </row>
    <row r="76" spans="1:7" s="6" customFormat="1" ht="16" customHeight="1" x14ac:dyDescent="0.25">
      <c r="A76" s="50">
        <v>72</v>
      </c>
      <c r="B76" s="8" t="str">
        <f>HYPERLINK("https://pubmed.ncbi.nlm.nih.gov/32893393","PMID: 32893393 - A phase 2, open-label study of single-dose dupilumab in children aged 6 months to &lt;6 years with severe uncontrolled atopic dermatitis: pharmacokinetics, safety and efficacy")</f>
        <v>PMID: 32893393 - A phase 2, open-label study of single-dose dupilumab in children aged 6 months to &lt;6 years with severe uncontrolled atopic dermatitis: pharmacokinetics, safety and efficacy</v>
      </c>
      <c r="C76" s="26" t="s">
        <v>197</v>
      </c>
      <c r="D76" s="26" t="s">
        <v>922</v>
      </c>
      <c r="E76" s="2" t="s">
        <v>944</v>
      </c>
      <c r="F76" s="28" t="s">
        <v>978</v>
      </c>
      <c r="G76" s="51"/>
    </row>
    <row r="77" spans="1:7" s="6" customFormat="1" ht="16" customHeight="1" x14ac:dyDescent="0.25">
      <c r="A77" s="50">
        <v>73</v>
      </c>
      <c r="B77" s="8" t="str">
        <f>HYPERLINK("https://pubmed.ncbi.nlm.nih.gov/32969489","PMID: 32969489 - Dupilumab provides favourable long-term safety and efficacy in children aged ≥ 6 to &lt; 12 years with uncontrolled severe atopic dermatitis: results from an open-label phase IIa study and subsequent phase III open-label extension study")</f>
        <v>PMID: 32969489 - Dupilumab provides favourable long-term safety and efficacy in children aged ≥ 6 to &lt; 12 years with uncontrolled severe atopic dermatitis: results from an open-label phase IIa study and subsequent phase III open-label extension study</v>
      </c>
      <c r="C77" s="26" t="s">
        <v>197</v>
      </c>
      <c r="D77" s="26" t="s">
        <v>923</v>
      </c>
      <c r="E77" s="2" t="s">
        <v>945</v>
      </c>
      <c r="F77" s="28" t="s">
        <v>978</v>
      </c>
      <c r="G77" s="51"/>
    </row>
    <row r="78" spans="1:7" s="6" customFormat="1" ht="16" customHeight="1" x14ac:dyDescent="0.25">
      <c r="A78" s="50">
        <v>74</v>
      </c>
      <c r="B78" s="8" t="str">
        <f>HYPERLINK("https://pubmed.ncbi.nlm.nih.gov/32981097","PMID: 32981097 - Improvement in disease severity and pruritus outcomes with crisaborole ointment, 2%, by baseline atopic dermatitis severity in children and adolescents with mild-to-moderate atopic dermatitis")</f>
        <v>PMID: 32981097 - Improvement in disease severity and pruritus outcomes with crisaborole ointment, 2%, by baseline atopic dermatitis severity in children and adolescents with mild-to-moderate atopic dermatitis</v>
      </c>
      <c r="C78" s="26" t="s">
        <v>197</v>
      </c>
      <c r="D78" s="26" t="s">
        <v>924</v>
      </c>
      <c r="E78" s="2" t="s">
        <v>946</v>
      </c>
      <c r="F78" s="28" t="s">
        <v>978</v>
      </c>
      <c r="G78" s="51"/>
    </row>
    <row r="79" spans="1:7" s="6" customFormat="1" ht="16" customHeight="1" x14ac:dyDescent="0.25">
      <c r="A79" s="50">
        <v>75</v>
      </c>
      <c r="B79" s="8" t="str">
        <f>HYPERLINK("https://pubmed.ncbi.nlm.nih.gov/33000465","PMID: 33000465 - Tralokinumab for moderate-to-severe atopic dermatitis: results from two 52-week, randomized, double-blind, multicentre, placebo-controlled phase III trials (ECZTRA 1 and ECZTRA 2)")</f>
        <v>PMID: 33000465 - Tralokinumab for moderate-to-severe atopic dermatitis: results from two 52-week, randomized, double-blind, multicentre, placebo-controlled phase III trials (ECZTRA 1 and ECZTRA 2)</v>
      </c>
      <c r="C79" s="26" t="s">
        <v>197</v>
      </c>
      <c r="D79" s="26" t="s">
        <v>313</v>
      </c>
      <c r="E79" s="2" t="s">
        <v>314</v>
      </c>
      <c r="F79" s="28" t="s">
        <v>197</v>
      </c>
      <c r="G79" s="51"/>
    </row>
    <row r="80" spans="1:7" s="6" customFormat="1" ht="16" customHeight="1" x14ac:dyDescent="0.25">
      <c r="A80" s="50">
        <v>76</v>
      </c>
      <c r="B80" s="8" t="str">
        <f>HYPERLINK("https://pubmed.ncbi.nlm.nih.gov/33000503","PMID: 33000503 - Tralokinumab plus topical corticosteroids for the treatment of moderate-to-severe atopic dermatitis: results from the double-blind, randomized, multicentre, placebo-controlled phase III ECZTRA 3 trial")</f>
        <v>PMID: 33000503 - Tralokinumab plus topical corticosteroids for the treatment of moderate-to-severe atopic dermatitis: results from the double-blind, randomized, multicentre, placebo-controlled phase III ECZTRA 3 trial</v>
      </c>
      <c r="C80" s="26" t="s">
        <v>197</v>
      </c>
      <c r="D80" s="26" t="s">
        <v>256</v>
      </c>
      <c r="E80" s="2" t="s">
        <v>257</v>
      </c>
      <c r="F80" s="28" t="s">
        <v>197</v>
      </c>
      <c r="G80" s="51"/>
    </row>
    <row r="81" spans="1:7" s="6" customFormat="1" ht="16" customHeight="1" x14ac:dyDescent="0.25">
      <c r="A81" s="50">
        <v>77</v>
      </c>
      <c r="B81" s="8" t="str">
        <f>HYPERLINK("https://pubmed.ncbi.nlm.nih.gov/33333295","PMID: 33333295 - Health-related quality of life with tralokinumab in moderate-to-severe atopic dermatitis: A phase 2b randomized study")</f>
        <v>PMID: 33333295 - Health-related quality of life with tralokinumab in moderate-to-severe atopic dermatitis: A phase 2b randomized study</v>
      </c>
      <c r="C81" s="26" t="s">
        <v>197</v>
      </c>
      <c r="D81" s="26" t="s">
        <v>280</v>
      </c>
      <c r="E81" s="2" t="s">
        <v>281</v>
      </c>
      <c r="F81" s="28" t="s">
        <v>197</v>
      </c>
      <c r="G81" s="51"/>
    </row>
    <row r="82" spans="1:7" s="6" customFormat="1" ht="16" customHeight="1" x14ac:dyDescent="0.25">
      <c r="A82" s="50">
        <v>78</v>
      </c>
      <c r="B82" s="8" t="str">
        <f>HYPERLINK("https://pubmed.ncbi.nlm.nih.gov/33551026","PMID: 33551026 - Gut microbiota development during infancy: Impact of introducing allergenic foods")</f>
        <v>PMID: 33551026 - Gut microbiota development during infancy: Impact of introducing allergenic foods</v>
      </c>
      <c r="C82" s="26" t="s">
        <v>197</v>
      </c>
      <c r="D82" s="26" t="s">
        <v>858</v>
      </c>
      <c r="E82" s="2" t="s">
        <v>859</v>
      </c>
      <c r="F82" s="28" t="s">
        <v>197</v>
      </c>
      <c r="G82" s="51"/>
    </row>
    <row r="83" spans="1:7" s="6" customFormat="1" ht="16" customHeight="1" x14ac:dyDescent="0.25">
      <c r="A83" s="50">
        <v>79</v>
      </c>
      <c r="B83" s="8" t="str">
        <f>HYPERLINK("https://pubmed.ncbi.nlm.nih.gov/33761207","PMID: 33761207 - Abrocitinib versus Placebo or Dupilumab for Atopic Dermatitis")</f>
        <v>PMID: 33761207 - Abrocitinib versus Placebo or Dupilumab for Atopic Dermatitis</v>
      </c>
      <c r="C83" s="26" t="s">
        <v>197</v>
      </c>
      <c r="D83" s="26" t="s">
        <v>860</v>
      </c>
      <c r="E83" s="2" t="s">
        <v>861</v>
      </c>
      <c r="F83" s="28" t="s">
        <v>197</v>
      </c>
      <c r="G83" s="51"/>
    </row>
    <row r="84" spans="1:7" s="6" customFormat="1" ht="16" customHeight="1" x14ac:dyDescent="0.25">
      <c r="A84" s="50">
        <v>80</v>
      </c>
      <c r="B84" s="8" t="str">
        <f>HYPERLINK("https://pubmed.ncbi.nlm.nih.gov/33891981","PMID: 33891981 - Mapping atopic dermatitis and anti-IL-22 response signatures to type 2-low severe neutrophilic asthma")</f>
        <v>PMID: 33891981 - Mapping atopic dermatitis and anti-IL-22 response signatures to type 2-low severe neutrophilic asthma</v>
      </c>
      <c r="C84" s="26" t="s">
        <v>197</v>
      </c>
      <c r="D84" s="26" t="s">
        <v>278</v>
      </c>
      <c r="E84" s="2" t="s">
        <v>279</v>
      </c>
      <c r="F84" s="28" t="s">
        <v>197</v>
      </c>
      <c r="G84" s="51"/>
    </row>
    <row r="85" spans="1:7" s="6" customFormat="1" ht="16" customHeight="1" x14ac:dyDescent="0.25">
      <c r="A85" s="50">
        <v>81</v>
      </c>
      <c r="B85" s="8" t="str">
        <f>HYPERLINK("https://pubmed.ncbi.nlm.nih.gov/33954933","PMID: 33954933 - Impact of Oral Abrocitinib Monotherapy on Patient-Reported Symptoms and Quality of Life in Adolescents and Adults with Moderate-to-Severe Atopic Dermatitis: A Pooled Analysis of Patient-Reported Outcomes")</f>
        <v>PMID: 33954933 - Impact of Oral Abrocitinib Monotherapy on Patient-Reported Symptoms and Quality of Life in Adolescents and Adults with Moderate-to-Severe Atopic Dermatitis: A Pooled Analysis of Patient-Reported Outcomes</v>
      </c>
      <c r="C85" s="26" t="s">
        <v>197</v>
      </c>
      <c r="D85" s="26" t="s">
        <v>270</v>
      </c>
      <c r="E85" s="2" t="s">
        <v>271</v>
      </c>
      <c r="F85" s="28" t="s">
        <v>197</v>
      </c>
      <c r="G85" s="51"/>
    </row>
    <row r="86" spans="1:7" s="6" customFormat="1" ht="16" customHeight="1" x14ac:dyDescent="0.25">
      <c r="A86" s="50">
        <v>82</v>
      </c>
      <c r="B86" s="8" t="str">
        <f>HYPERLINK("https://pubmed.ncbi.nlm.nih.gov/34023008","PMID: 34023008 - Once-daily upadacitinib versus placebo in adolescents and adults with moderate-to-severe atopic dermatitis (Measure Up 1 and Measure Up 2): results from two replicate double-blind, randomised controlled phase 3 trials")</f>
        <v>PMID: 34023008 - Once-daily upadacitinib versus placebo in adolescents and adults with moderate-to-severe atopic dermatitis (Measure Up 1 and Measure Up 2): results from two replicate double-blind, randomised controlled phase 3 trials</v>
      </c>
      <c r="C86" s="26" t="s">
        <v>197</v>
      </c>
      <c r="D86" s="26" t="s">
        <v>317</v>
      </c>
      <c r="E86" s="2" t="s">
        <v>318</v>
      </c>
      <c r="F86" s="28" t="s">
        <v>197</v>
      </c>
      <c r="G86" s="51"/>
    </row>
    <row r="87" spans="1:7" s="6" customFormat="1" ht="16" customHeight="1" x14ac:dyDescent="0.25">
      <c r="A87" s="50">
        <v>83</v>
      </c>
      <c r="B87" s="8" t="str">
        <f>HYPERLINK("https://pubmed.ncbi.nlm.nih.gov/34305403","PMID: 34305403 - A Clinical Investigation of the Performance and Safety of Epaderm(®), an Emollient Cream")</f>
        <v>PMID: 34305403 - A Clinical Investigation of the Performance and Safety of Epaderm(®), an Emollient Cream</v>
      </c>
      <c r="C87" s="26" t="s">
        <v>200</v>
      </c>
      <c r="D87" s="26" t="s">
        <v>351</v>
      </c>
      <c r="E87" s="2" t="s">
        <v>352</v>
      </c>
      <c r="F87" s="28" t="s">
        <v>197</v>
      </c>
      <c r="G87" s="51"/>
    </row>
    <row r="88" spans="1:7" s="6" customFormat="1" ht="16" customHeight="1" x14ac:dyDescent="0.25">
      <c r="A88" s="50">
        <v>84</v>
      </c>
      <c r="B88" s="8" t="str">
        <f>HYPERLINK("https://pubmed.ncbi.nlm.nih.gov/34406619","PMID: 34406619 - Integrated Safety Analysis of Abrocitinib for the Treatment of Moderate-to-Severe Atopic Dermatitis From the Phase II and Phase III Clinical Trial Program")</f>
        <v>PMID: 34406619 - Integrated Safety Analysis of Abrocitinib for the Treatment of Moderate-to-Severe Atopic Dermatitis From the Phase II and Phase III Clinical Trial Program</v>
      </c>
      <c r="C88" s="26" t="s">
        <v>197</v>
      </c>
      <c r="D88" s="26" t="s">
        <v>284</v>
      </c>
      <c r="E88" s="2" t="s">
        <v>285</v>
      </c>
      <c r="F88" s="28" t="s">
        <v>197</v>
      </c>
      <c r="G88" s="51"/>
    </row>
    <row r="89" spans="1:7" s="6" customFormat="1" ht="16" customHeight="1" x14ac:dyDescent="0.25">
      <c r="A89" s="50">
        <v>85</v>
      </c>
      <c r="B89" s="8" t="str">
        <f>HYPERLINK("https://pubmed.ncbi.nlm.nih.gov/34416294","PMID: 34416294 - Abrocitinib induction, randomized withdrawal, and retreatment in patients with moderate-to-severe atopic dermatitis: Results from the JAK1 Atopic Dermatitis Efficacy and Safety (JADE) REGIMEN phase 3 trial")</f>
        <v>PMID: 34416294 - Abrocitinib induction, randomized withdrawal, and retreatment in patients with moderate-to-severe atopic dermatitis: Results from the JAK1 Atopic Dermatitis Efficacy and Safety (JADE) REGIMEN phase 3 trial</v>
      </c>
      <c r="C89" s="26" t="s">
        <v>197</v>
      </c>
      <c r="D89" s="26" t="s">
        <v>319</v>
      </c>
      <c r="E89" s="2" t="s">
        <v>320</v>
      </c>
      <c r="F89" s="28" t="s">
        <v>197</v>
      </c>
      <c r="G89" s="51"/>
    </row>
    <row r="90" spans="1:7" s="6" customFormat="1" ht="16" customHeight="1" x14ac:dyDescent="0.25">
      <c r="A90" s="50">
        <v>86</v>
      </c>
      <c r="B90" s="8" t="str">
        <f>HYPERLINK("https://pubmed.ncbi.nlm.nih.gov/34462864","PMID: 34462864 - Laboratory Safety of Dupilumab in Patients Aged 6-11 Years with Severe Atopic Dermatitis: Results from a Phase III Clinical Trial")</f>
        <v>PMID: 34462864 - Laboratory Safety of Dupilumab in Patients Aged 6-11 Years with Severe Atopic Dermatitis: Results from a Phase III Clinical Trial</v>
      </c>
      <c r="C90" s="26" t="s">
        <v>197</v>
      </c>
      <c r="D90" s="26" t="s">
        <v>359</v>
      </c>
      <c r="E90" s="2" t="s">
        <v>360</v>
      </c>
      <c r="F90" s="28" t="s">
        <v>197</v>
      </c>
      <c r="G90" s="51"/>
    </row>
    <row r="91" spans="1:7" s="6" customFormat="1" ht="16" customHeight="1" x14ac:dyDescent="0.25">
      <c r="A91" s="50">
        <v>87</v>
      </c>
      <c r="B91" s="8" t="str">
        <f>HYPERLINK("https://pubmed.ncbi.nlm.nih.gov/34698371","PMID: 34698371 - Tralokinumab plus topical corticosteroids in adults with severe atopic dermatitis and inadequate response to or intolerance of ciclosporin A: a placebo-controlled, randomized, phase III clinical trial (ECZTRA 7)")</f>
        <v>PMID: 34698371 - Tralokinumab plus topical corticosteroids in adults with severe atopic dermatitis and inadequate response to or intolerance of ciclosporin A: a placebo-controlled, randomized, phase III clinical trial (ECZTRA 7)</v>
      </c>
      <c r="C91" s="26" t="s">
        <v>197</v>
      </c>
      <c r="D91" s="26" t="s">
        <v>325</v>
      </c>
      <c r="E91" s="2" t="s">
        <v>326</v>
      </c>
      <c r="F91" s="28" t="s">
        <v>197</v>
      </c>
      <c r="G91" s="51"/>
    </row>
    <row r="92" spans="1:7" s="6" customFormat="1" ht="16" customHeight="1" x14ac:dyDescent="0.25">
      <c r="A92" s="50">
        <v>88</v>
      </c>
      <c r="B92" s="8" t="str">
        <f>HYPERLINK("https://pubmed.ncbi.nlm.nih.gov/34779063","PMID: 34779063 - Patient-reported outcomes from the JADE COMPARE randomized phase 3 study of abrocitinib in adults with moderate-to-severe atopic dermatitis")</f>
        <v>PMID: 34779063 - Patient-reported outcomes from the JADE COMPARE randomized phase 3 study of abrocitinib in adults with moderate-to-severe atopic dermatitis</v>
      </c>
      <c r="C92" s="26" t="s">
        <v>197</v>
      </c>
      <c r="D92" s="26" t="s">
        <v>276</v>
      </c>
      <c r="E92" s="2" t="s">
        <v>277</v>
      </c>
      <c r="F92" s="28" t="s">
        <v>197</v>
      </c>
      <c r="G92" s="51"/>
    </row>
    <row r="93" spans="1:7" s="6" customFormat="1" ht="16" customHeight="1" x14ac:dyDescent="0.25">
      <c r="A93" s="50">
        <v>89</v>
      </c>
      <c r="B93" s="8" t="str">
        <f>HYPERLINK("https://pubmed.ncbi.nlm.nih.gov/34854157","PMID: 34854157 - Randomized controlled pilot trial with ion-exchange water softeners to prevent eczema (SOFTER trial)")</f>
        <v>PMID: 34854157 - Randomized controlled pilot trial with ion-exchange water softeners to prevent eczema (SOFTER trial)</v>
      </c>
      <c r="C93" s="26" t="s">
        <v>200</v>
      </c>
      <c r="D93" s="26" t="s">
        <v>347</v>
      </c>
      <c r="E93" s="2" t="s">
        <v>348</v>
      </c>
      <c r="F93" s="28" t="s">
        <v>197</v>
      </c>
      <c r="G93" s="51"/>
    </row>
    <row r="94" spans="1:7" s="6" customFormat="1" ht="16" customHeight="1" x14ac:dyDescent="0.25">
      <c r="A94" s="50">
        <v>90</v>
      </c>
      <c r="B94" s="8" t="str">
        <f>HYPERLINK("https://pubmed.ncbi.nlm.nih.gov/34877731","PMID: 34877731 - Frequency of guideline-defined cow's milk allergy symptoms in infants: Secondary analysis of EAT trial data")</f>
        <v>PMID: 34877731 - Frequency of guideline-defined cow's milk allergy symptoms in infants: Secondary analysis of EAT trial data</v>
      </c>
      <c r="C94" s="26" t="s">
        <v>197</v>
      </c>
      <c r="D94" s="26" t="s">
        <v>862</v>
      </c>
      <c r="E94" s="2" t="s">
        <v>863</v>
      </c>
      <c r="F94" s="28" t="s">
        <v>197</v>
      </c>
      <c r="G94" s="51"/>
    </row>
    <row r="95" spans="1:7" s="6" customFormat="1" ht="16" customHeight="1" x14ac:dyDescent="0.25">
      <c r="A95" s="50">
        <v>91</v>
      </c>
      <c r="B95" s="8" t="str">
        <f>HYPERLINK("https://pubmed.ncbi.nlm.nih.gov/34921679","PMID: 34921679 - Enhancement of stratum corneum lipid structure improves skin barrier function and protects against irritation in adults with dry, eczema-prone skin")</f>
        <v>PMID: 34921679 - Enhancement of stratum corneum lipid structure improves skin barrier function and protects against irritation in adults with dry, eczema-prone skin</v>
      </c>
      <c r="C95" s="26" t="s">
        <v>200</v>
      </c>
      <c r="D95" s="26" t="s">
        <v>335</v>
      </c>
      <c r="E95" s="2" t="s">
        <v>336</v>
      </c>
      <c r="F95" s="28" t="s">
        <v>197</v>
      </c>
      <c r="G95" s="51"/>
    </row>
    <row r="96" spans="1:7" s="6" customFormat="1" ht="16" customHeight="1" x14ac:dyDescent="0.25">
      <c r="A96" s="50">
        <v>92</v>
      </c>
      <c r="B96" s="8" t="str">
        <f>HYPERLINK("https://pubmed.ncbi.nlm.nih.gov/35567671","PMID: 35567671 - Long-Term Efficacy and Safety of Dupilumab in Adolescents with Moderate-to-Severe Atopic Dermatitis: Results Through Week 52 from a Phase III Open-Label Extension Trial (LIBERTY AD PED-OLE)")</f>
        <v>PMID: 35567671 - Long-Term Efficacy and Safety of Dupilumab in Adolescents with Moderate-to-Severe Atopic Dermatitis: Results Through Week 52 from a Phase III Open-Label Extension Trial (LIBERTY AD PED-OLE)</v>
      </c>
      <c r="C96" s="26" t="s">
        <v>197</v>
      </c>
      <c r="D96" s="26" t="s">
        <v>329</v>
      </c>
      <c r="E96" s="2" t="s">
        <v>330</v>
      </c>
      <c r="F96" s="28" t="s">
        <v>197</v>
      </c>
      <c r="G96" s="51"/>
    </row>
    <row r="97" spans="1:7" s="6" customFormat="1" ht="16" customHeight="1" x14ac:dyDescent="0.25">
      <c r="A97" s="50">
        <v>93</v>
      </c>
      <c r="B97" s="8" t="str">
        <f>HYPERLINK("https://pubmed.ncbi.nlm.nih.gov/35617974","PMID: 35617974 - Effectiveness and safety of lotion, cream, gel, and ointment emollients for childhood eczema: a pragmatic, randomised, phase 4, superiority trial")</f>
        <v>PMID: 35617974 - Effectiveness and safety of lotion, cream, gel, and ointment emollients for childhood eczema: a pragmatic, randomised, phase 4, superiority trial</v>
      </c>
      <c r="C97" s="26" t="s">
        <v>200</v>
      </c>
      <c r="D97" s="26" t="s">
        <v>913</v>
      </c>
      <c r="E97" s="2" t="s">
        <v>935</v>
      </c>
      <c r="F97" s="28" t="s">
        <v>978</v>
      </c>
      <c r="G97" s="51"/>
    </row>
    <row r="98" spans="1:7" s="6" customFormat="1" ht="16" customHeight="1" x14ac:dyDescent="0.25">
      <c r="A98" s="50">
        <v>94</v>
      </c>
      <c r="B98" s="8" t="str">
        <f>HYPERLINK("https://pubmed.ncbi.nlm.nih.gov/35763390","PMID: 35763390 - Maternal antenatal vitamin D supplementation and offspring risk of atopic eczema in the first 4 years of life: evidence from a randomized controlled trial")</f>
        <v>PMID: 35763390 - Maternal antenatal vitamin D supplementation and offspring risk of atopic eczema in the first 4 years of life: evidence from a randomized controlled trial</v>
      </c>
      <c r="C98" s="26" t="s">
        <v>223</v>
      </c>
      <c r="D98" s="26" t="s">
        <v>331</v>
      </c>
      <c r="E98" s="2" t="s">
        <v>332</v>
      </c>
      <c r="F98" s="28" t="s">
        <v>197</v>
      </c>
      <c r="G98" s="51"/>
    </row>
    <row r="99" spans="1:7" s="6" customFormat="1" ht="16" customHeight="1" x14ac:dyDescent="0.25">
      <c r="A99" s="50">
        <v>95</v>
      </c>
      <c r="B99" s="8" t="str">
        <f>HYPERLINK("https://pubmed.ncbi.nlm.nih.gov/35857179","PMID: 35857179 - Tralokinumab Plus Topical Corticosteroids as Needed Provides Progressive and Sustained Efficacy in Adults with Moderate-to-Severe Atopic Dermatitis Over a 32-Week Period: An ECZTRA 3 Post Hoc Analysis")</f>
        <v>PMID: 35857179 - Tralokinumab Plus Topical Corticosteroids as Needed Provides Progressive and Sustained Efficacy in Adults with Moderate-to-Severe Atopic Dermatitis Over a 32-Week Period: An ECZTRA 3 Post Hoc Analysis</v>
      </c>
      <c r="C99" s="26" t="s">
        <v>197</v>
      </c>
      <c r="D99" s="26" t="s">
        <v>341</v>
      </c>
      <c r="E99" s="2" t="s">
        <v>342</v>
      </c>
      <c r="F99" s="28" t="s">
        <v>197</v>
      </c>
      <c r="G99" s="51"/>
    </row>
    <row r="100" spans="1:7" s="6" customFormat="1" ht="16" customHeight="1" x14ac:dyDescent="0.25">
      <c r="A100" s="50">
        <v>96</v>
      </c>
      <c r="B100" s="8" t="str">
        <f>HYPERLINK("https://pubmed.ncbi.nlm.nih.gov/35871814","PMID: 35871814 - Efficacy and safety of abrocitinib versus dupilumab in adults with moderate-to-severe atopic dermatitis: a randomised, double-blind, multicentre phase 3 trial")</f>
        <v>PMID: 35871814 - Efficacy and safety of abrocitinib versus dupilumab in adults with moderate-to-severe atopic dermatitis: a randomised, double-blind, multicentre phase 3 trial</v>
      </c>
      <c r="C100" s="26" t="s">
        <v>197</v>
      </c>
      <c r="D100" s="26" t="s">
        <v>311</v>
      </c>
      <c r="E100" s="2" t="s">
        <v>312</v>
      </c>
      <c r="F100" s="28" t="s">
        <v>197</v>
      </c>
      <c r="G100" s="51"/>
    </row>
    <row r="101" spans="1:7" s="6" customFormat="1" ht="16" customHeight="1" x14ac:dyDescent="0.25">
      <c r="A101" s="50">
        <v>97</v>
      </c>
      <c r="B101" s="8" t="str">
        <f>HYPERLINK("https://pubmed.ncbi.nlm.nih.gov/36038984","PMID: 36038984 - A randomized, observer-blind, vehicle-control, multi-center clinical investigation for assessing the efficacy and tolerability…………….")</f>
        <v>PMID: 36038984 - A randomized, observer-blind, vehicle-control, multi-center clinical investigation for assessing the efficacy and tolerability…………….</v>
      </c>
      <c r="C101" s="26" t="s">
        <v>197</v>
      </c>
      <c r="D101" s="26" t="s">
        <v>925</v>
      </c>
      <c r="E101" s="2" t="s">
        <v>947</v>
      </c>
      <c r="F101" s="28" t="s">
        <v>978</v>
      </c>
      <c r="G101" s="51"/>
    </row>
    <row r="102" spans="1:7" s="6" customFormat="1" ht="16" customHeight="1" x14ac:dyDescent="0.25">
      <c r="A102" s="50">
        <v>98</v>
      </c>
      <c r="B102" s="8" t="str">
        <f>HYPERLINK("https://pubmed.ncbi.nlm.nih.gov/36082590","PMID: 36082590 - Safety of tralokinumab in adult patients with moderate-to-severe atopic dermatitis: pooled analysis of five randomized, double-blind, placebo-controlled phase II and phase III trials")</f>
        <v>PMID: 36082590 - Safety of tralokinumab in adult patients with moderate-to-severe atopic dermatitis: pooled analysis of five randomized, double-blind, placebo-controlled phase II and phase III trials</v>
      </c>
      <c r="C102" s="26" t="s">
        <v>197</v>
      </c>
      <c r="D102" s="26" t="s">
        <v>339</v>
      </c>
      <c r="E102" s="2" t="s">
        <v>340</v>
      </c>
      <c r="F102" s="28" t="s">
        <v>197</v>
      </c>
      <c r="G102" s="51"/>
    </row>
    <row r="103" spans="1:7" s="6" customFormat="1" ht="16" customHeight="1" x14ac:dyDescent="0.25">
      <c r="A103" s="50">
        <v>99</v>
      </c>
      <c r="B103" s="8" t="str">
        <f>HYPERLINK("https://pubmed.ncbi.nlm.nih.gov/36108923","PMID: 36108923 - Magnitude and Time Course of Response to Abrocitinib for Moderate-to-Severe Atopic Dermatitis")</f>
        <v>PMID: 36108923 - Magnitude and Time Course of Response to Abrocitinib for Moderate-to-Severe Atopic Dermatitis</v>
      </c>
      <c r="C103" s="26" t="s">
        <v>197</v>
      </c>
      <c r="D103" s="26" t="s">
        <v>333</v>
      </c>
      <c r="E103" s="2" t="s">
        <v>334</v>
      </c>
      <c r="F103" s="28" t="s">
        <v>197</v>
      </c>
      <c r="G103" s="51"/>
    </row>
    <row r="104" spans="1:7" s="6" customFormat="1" ht="16" customHeight="1" x14ac:dyDescent="0.25">
      <c r="A104" s="50">
        <v>100</v>
      </c>
      <c r="B104" s="8" t="str">
        <f>HYPERLINK("https://pubmed.ncbi.nlm.nih.gov/36116481","PMID: 36116481 - Dupilumab in children aged 6 months to younger than 6 years with uncontrolled atopic dermatitis: a randomised, double-blind, placebo-controlled, phase 3 trial")</f>
        <v>PMID: 36116481 - Dupilumab in children aged 6 months to younger than 6 years with uncontrolled atopic dermatitis: a randomised, double-blind, placebo-controlled, phase 3 trial</v>
      </c>
      <c r="C104" s="26" t="s">
        <v>197</v>
      </c>
      <c r="D104" s="26" t="s">
        <v>926</v>
      </c>
      <c r="E104" s="2" t="s">
        <v>948</v>
      </c>
      <c r="F104" s="28" t="s">
        <v>978</v>
      </c>
      <c r="G104" s="51"/>
    </row>
    <row r="105" spans="1:7" s="6" customFormat="1" ht="16" customHeight="1" x14ac:dyDescent="0.25">
      <c r="A105" s="50">
        <v>101</v>
      </c>
      <c r="B105" s="8" t="str">
        <f>HYPERLINK("https://pubmed.ncbi.nlm.nih.gov/36263451","PMID: 36263451 - Emollients for prevention of atopic dermatitis: 5-year findings from the BEEP randomized trial")</f>
        <v>PMID: 36263451 - Emollients for prevention of atopic dermatitis: 5-year findings from the BEEP randomized trial</v>
      </c>
      <c r="C105" s="26" t="s">
        <v>197</v>
      </c>
      <c r="D105" s="26" t="s">
        <v>337</v>
      </c>
      <c r="E105" s="2" t="s">
        <v>338</v>
      </c>
      <c r="F105" s="28" t="s">
        <v>197</v>
      </c>
      <c r="G105" s="51"/>
    </row>
    <row r="106" spans="1:7" s="6" customFormat="1" ht="16" customHeight="1" x14ac:dyDescent="0.25">
      <c r="A106" s="50">
        <v>102</v>
      </c>
      <c r="B106" s="8" t="str">
        <f>HYPERLINK("https://pubmed.ncbi.nlm.nih.gov/36303217","PMID: 36303217 - A practical guide to implementing a successful social media recruitment strategy: lessons from the Eczema Monitoring Online trial")</f>
        <v>PMID: 36303217 - A practical guide to implementing a successful social media recruitment strategy: lessons from the Eczema Monitoring Online trial</v>
      </c>
      <c r="C106" s="26" t="s">
        <v>200</v>
      </c>
      <c r="D106" s="26" t="s">
        <v>361</v>
      </c>
      <c r="E106" s="2" t="s">
        <v>362</v>
      </c>
      <c r="F106" s="28" t="s">
        <v>197</v>
      </c>
      <c r="G106" s="51"/>
    </row>
    <row r="107" spans="1:7" s="6" customFormat="1" ht="16" customHeight="1" x14ac:dyDescent="0.25">
      <c r="A107" s="50">
        <v>103</v>
      </c>
      <c r="B107" s="8" t="str">
        <f>HYPERLINK("https://pubmed.ncbi.nlm.nih.gov/36473633","PMID: 36473633 - Tralokinumab treatment improves the skin microbiota by increasing the microbial diversity in adults with moderate-to-severe atopic dermatitis: Analysis of microbial diversity in ECZTRA 1, a randomized controlled trial")</f>
        <v>PMID: 36473633 - Tralokinumab treatment improves the skin microbiota by increasing the microbial diversity in adults with moderate-to-severe atopic dermatitis: Analysis of microbial diversity in ECZTRA 1, a randomized controlled trial</v>
      </c>
      <c r="C107" s="26" t="s">
        <v>197</v>
      </c>
      <c r="D107" s="26" t="s">
        <v>367</v>
      </c>
      <c r="E107" s="2" t="s">
        <v>368</v>
      </c>
      <c r="F107" s="28" t="s">
        <v>197</v>
      </c>
      <c r="G107" s="51"/>
    </row>
    <row r="108" spans="1:7" s="6" customFormat="1" ht="16" customHeight="1" x14ac:dyDescent="0.25">
      <c r="A108" s="50">
        <v>104</v>
      </c>
      <c r="B108" s="8" t="str">
        <f>HYPERLINK("https://pubmed.ncbi.nlm.nih.gov/36509097","PMID: 36509097 - An anti-OX40 antibody to treat moderate-to-severe atopic dermatitis: a multicentre, double-blind, placebo-controlled phase 2b study")</f>
        <v>PMID: 36509097 - An anti-OX40 antibody to treat moderate-to-severe atopic dermatitis: a multicentre, double-blind, placebo-controlled phase 2b study</v>
      </c>
      <c r="C108" s="26" t="s">
        <v>197</v>
      </c>
      <c r="D108" s="26" t="s">
        <v>327</v>
      </c>
      <c r="E108" s="2" t="s">
        <v>328</v>
      </c>
      <c r="F108" s="28" t="s">
        <v>197</v>
      </c>
      <c r="G108" s="51"/>
    </row>
    <row r="109" spans="1:7" s="6" customFormat="1" ht="16" customHeight="1" x14ac:dyDescent="0.25">
      <c r="A109" s="50">
        <v>105</v>
      </c>
      <c r="B109" s="8" t="str">
        <f>HYPERLINK("https://pubmed.ncbi.nlm.nih.gov/36512175","PMID: 36512175 - Early Itch Response with Abrocitinib Is Associated with Later Efficacy Outcomes in Patients with Moderate-to-Severe Atopic Dermatitis: Subgroup Analysis of the Randomized Phase III JADE COMPARE Trial")</f>
        <v>PMID: 36512175 - Early Itch Response with Abrocitinib Is Associated with Later Efficacy Outcomes in Patients with Moderate-to-Severe Atopic Dermatitis: Subgroup Analysis of the Randomized Phase III JADE COMPARE Trial</v>
      </c>
      <c r="C109" s="26" t="s">
        <v>197</v>
      </c>
      <c r="D109" s="26" t="s">
        <v>343</v>
      </c>
      <c r="E109" s="2" t="s">
        <v>344</v>
      </c>
      <c r="F109" s="28" t="s">
        <v>197</v>
      </c>
      <c r="G109" s="51"/>
    </row>
    <row r="110" spans="1:7" s="6" customFormat="1" ht="16" customHeight="1" x14ac:dyDescent="0.25">
      <c r="A110" s="50">
        <v>106</v>
      </c>
      <c r="B110" s="8" t="str">
        <f>HYPERLINK("https://pubmed.ncbi.nlm.nih.gov/36529811","PMID: 36529811 - Laboratory Safety from a Randomized 16-Week Phase III Study of Dupilumab in Children Aged 6 Months to 5 Years with Moderate-to-Severe Atopic Dermatitis")</f>
        <v>PMID: 36529811 - Laboratory Safety from a Randomized 16-Week Phase III Study of Dupilumab in Children Aged 6 Months to 5 Years with Moderate-to-Severe Atopic Dermatitis</v>
      </c>
      <c r="C110" s="26" t="s">
        <v>197</v>
      </c>
      <c r="D110" s="26" t="s">
        <v>927</v>
      </c>
      <c r="E110" s="2" t="s">
        <v>949</v>
      </c>
      <c r="F110" s="28" t="s">
        <v>978</v>
      </c>
      <c r="G110" s="51"/>
    </row>
    <row r="111" spans="1:7" s="6" customFormat="1" ht="16" customHeight="1" x14ac:dyDescent="0.25">
      <c r="A111" s="50">
        <v>107</v>
      </c>
      <c r="B111" s="8" t="str">
        <f>HYPERLINK("https://pubmed.ncbi.nlm.nih.gov/36573442","PMID: 36573442 - Editorial comments on Early initiation of short-term emollient use for the prevention of atopic dermatitis in high-risk infants-The STOP-AD randomized controlled trial-Is emollient therapy enough?PG - 908-911LID - 10")</f>
        <v>PMID: 36573442 - Editorial comments on Early initiation of short-term emollient use for the prevention of atopic dermatitis in high-risk infants-The STOP-AD randomized controlled trial-Is emollient therapy enough?PG - 908-911LID - 10</v>
      </c>
      <c r="C111" s="26" t="s">
        <v>197</v>
      </c>
      <c r="D111" s="26" t="s">
        <v>357</v>
      </c>
      <c r="E111" s="2" t="s">
        <v>358</v>
      </c>
      <c r="F111" s="28" t="s">
        <v>197</v>
      </c>
      <c r="G111" s="51"/>
    </row>
    <row r="112" spans="1:7" s="6" customFormat="1" ht="16" customHeight="1" x14ac:dyDescent="0.25">
      <c r="A112" s="50">
        <v>108</v>
      </c>
      <c r="B112" s="8" t="str">
        <f>HYPERLINK("https://pubmed.ncbi.nlm.nih.gov/36754548","PMID: 36754548 - Safety profile of upadacitinib over 15 000 patient-years across rheumatoid arthritis, psoriatic arthritis, ankylosing spondylitis and atopic dermatitis")</f>
        <v>PMID: 36754548 - Safety profile of upadacitinib over 15 000 patient-years across rheumatoid arthritis, psoriatic arthritis, ankylosing spondylitis and atopic dermatitis</v>
      </c>
      <c r="C112" s="26" t="s">
        <v>912</v>
      </c>
      <c r="D112" s="26" t="s">
        <v>934</v>
      </c>
      <c r="E112" s="2" t="s">
        <v>956</v>
      </c>
      <c r="F112" s="28" t="s">
        <v>197</v>
      </c>
      <c r="G112" s="51"/>
    </row>
    <row r="113" spans="1:7" s="6" customFormat="1" ht="16" customHeight="1" x14ac:dyDescent="0.25">
      <c r="A113" s="50">
        <v>109</v>
      </c>
      <c r="B113" s="8" t="str">
        <f>HYPERLINK("https://pubmed.ncbi.nlm.nih.gov/36802049","PMID: 36802049 - Baricitinib Safety for Events of Special Interest in Populations at Risk: Analysis from Randomised Trial Data Across Rheumatologic and Dermatologic Indications")</f>
        <v>PMID: 36802049 - Baricitinib Safety for Events of Special Interest in Populations at Risk: Analysis from Randomised Trial Data Across Rheumatologic and Dermatologic Indications</v>
      </c>
      <c r="C113" s="26" t="s">
        <v>197</v>
      </c>
      <c r="D113" s="26" t="s">
        <v>864</v>
      </c>
      <c r="E113" s="2" t="s">
        <v>865</v>
      </c>
      <c r="F113" s="28" t="s">
        <v>197</v>
      </c>
      <c r="G113" s="51"/>
    </row>
    <row r="114" spans="1:7" s="6" customFormat="1" ht="16" customHeight="1" x14ac:dyDescent="0.25">
      <c r="A114" s="50">
        <v>110</v>
      </c>
      <c r="B114" s="8" t="str">
        <f>HYPERLINK("https://pubmed.ncbi.nlm.nih.gov/36848918","PMID: 36848918 - Baricitinib for systemic lupus erythematosus: a double-blind, randomised, placebo-controlled, phase 3 trial (SLE-BRAVE-I)")</f>
        <v>PMID: 36848918 - Baricitinib for systemic lupus erythematosus: a double-blind, randomised, placebo-controlled, phase 3 trial (SLE-BRAVE-I)</v>
      </c>
      <c r="C114" s="26" t="s">
        <v>197</v>
      </c>
      <c r="D114" s="26" t="s">
        <v>866</v>
      </c>
      <c r="E114" s="2" t="s">
        <v>867</v>
      </c>
      <c r="F114" s="28" t="s">
        <v>197</v>
      </c>
      <c r="G114" s="51"/>
    </row>
    <row r="115" spans="1:7" s="6" customFormat="1" ht="16" customHeight="1" x14ac:dyDescent="0.25">
      <c r="A115" s="50">
        <v>111</v>
      </c>
      <c r="B115" s="8" t="str">
        <f>HYPERLINK("https://pubmed.ncbi.nlm.nih.gov/36848919","PMID: 36848919 - Baricitinib for systemic lupus erythematosus: a double-blind, randomised, placebo-controlled, phase 3 trial (SLE-BRAVE-II)")</f>
        <v>PMID: 36848919 - Baricitinib for systemic lupus erythematosus: a double-blind, randomised, placebo-controlled, phase 3 trial (SLE-BRAVE-II)</v>
      </c>
      <c r="C115" s="26" t="s">
        <v>197</v>
      </c>
      <c r="D115" s="26" t="s">
        <v>868</v>
      </c>
      <c r="E115" s="2" t="s">
        <v>869</v>
      </c>
      <c r="F115" s="28" t="s">
        <v>197</v>
      </c>
      <c r="G115" s="51"/>
    </row>
    <row r="116" spans="1:7" s="6" customFormat="1" ht="16" customHeight="1" x14ac:dyDescent="0.25">
      <c r="A116" s="50">
        <v>112</v>
      </c>
      <c r="B116" s="8" t="str">
        <f>HYPERLINK("https://pubmed.ncbi.nlm.nih.gov/36912484","PMID: 36912484 - Maintained improvement in physician- and patient-reported outcomes with baricitinib in adults with moderate-to-severe atopic dermatitis who were treated for up to 104 weeks in a randomized trial")</f>
        <v>PMID: 36912484 - Maintained improvement in physician- and patient-reported outcomes with baricitinib in adults with moderate-to-severe atopic dermatitis who were treated for up to 104 weeks in a randomized trial</v>
      </c>
      <c r="C116" s="26" t="s">
        <v>197</v>
      </c>
      <c r="D116" s="26" t="s">
        <v>870</v>
      </c>
      <c r="E116" s="2" t="s">
        <v>871</v>
      </c>
      <c r="F116" s="28" t="s">
        <v>197</v>
      </c>
      <c r="G116" s="51"/>
    </row>
    <row r="117" spans="1:7" s="6" customFormat="1" ht="16" customHeight="1" x14ac:dyDescent="0.25">
      <c r="A117" s="50">
        <v>113</v>
      </c>
      <c r="B117" s="8" t="str">
        <f>HYPERLINK("https://pubmed.ncbi.nlm.nih.gov/36920778","PMID: 36920778 - Two Phase 3 Trials of Lebrikizumab for Moderate-to-Severe Atopic Dermatitis")</f>
        <v>PMID: 36920778 - Two Phase 3 Trials of Lebrikizumab for Moderate-to-Severe Atopic Dermatitis</v>
      </c>
      <c r="C117" s="26" t="s">
        <v>988</v>
      </c>
      <c r="D117" s="26" t="s">
        <v>323</v>
      </c>
      <c r="E117" s="2" t="s">
        <v>324</v>
      </c>
      <c r="F117" s="28" t="s">
        <v>197</v>
      </c>
      <c r="G117" s="51"/>
    </row>
    <row r="118" spans="1:7" s="6" customFormat="1" ht="16" customHeight="1" x14ac:dyDescent="0.25">
      <c r="A118" s="50">
        <v>114</v>
      </c>
      <c r="B118" s="8" t="str">
        <f>HYPERLINK("https://pubmed.ncbi.nlm.nih.gov/36963619","PMID: 36963619 - Enhanced early skin treatment for atopic dermatitis in infants reduces food allergy")</f>
        <v>PMID: 36963619 - Enhanced early skin treatment for atopic dermatitis in infants reduces food allergy</v>
      </c>
      <c r="C118" s="26" t="s">
        <v>197</v>
      </c>
      <c r="D118" s="26" t="s">
        <v>872</v>
      </c>
      <c r="E118" s="2" t="s">
        <v>873</v>
      </c>
      <c r="F118" s="28" t="s">
        <v>197</v>
      </c>
      <c r="G118" s="51"/>
    </row>
    <row r="119" spans="1:7" s="6" customFormat="1" ht="16" customHeight="1" x14ac:dyDescent="0.25">
      <c r="A119" s="50">
        <v>115</v>
      </c>
      <c r="B119" s="8" t="str">
        <f>HYPERLINK("https://pubmed.ncbi.nlm.nih.gov/37036183","PMID: 37036183 - Efficacy and safety of abrocitinib monotherapy in adolescents and adults: a post hoc analysis of the phase 3 JAK1 atopic dermatitis efficacy and safety (JADE) REGIMEN clinical trial")</f>
        <v>PMID: 37036183 - Efficacy and safety of abrocitinib monotherapy in adolescents and adults: a post hoc analysis of the phase 3 JAK1 atopic dermatitis efficacy and safety (JADE) REGIMEN clinical trial</v>
      </c>
      <c r="C119" s="26" t="s">
        <v>197</v>
      </c>
      <c r="D119" s="26" t="s">
        <v>874</v>
      </c>
      <c r="E119" s="2" t="s">
        <v>875</v>
      </c>
      <c r="F119" s="28" t="s">
        <v>197</v>
      </c>
      <c r="G119" s="51"/>
    </row>
    <row r="120" spans="1:7" s="6" customFormat="1" ht="16" customHeight="1" x14ac:dyDescent="0.25">
      <c r="A120" s="50">
        <v>116</v>
      </c>
      <c r="B120" s="8" t="str">
        <f>HYPERLINK("https://pubmed.ncbi.nlm.nih.gov/37043227","PMID: 37043227 - Efficacy and Safety of Upadacitinib Treatment in Adolescents With Moderate-to-Severe Atopic Dermatitis: Analysis of the Measure Up 1, Measure Up 2, and AD Up Randomized Clinical Trials")</f>
        <v>PMID: 37043227 - Efficacy and Safety of Upadacitinib Treatment in Adolescents With Moderate-to-Severe Atopic Dermatitis: Analysis of the Measure Up 1, Measure Up 2, and AD Up Randomized Clinical Trials</v>
      </c>
      <c r="C120" s="26" t="s">
        <v>197</v>
      </c>
      <c r="D120" s="26" t="s">
        <v>349</v>
      </c>
      <c r="E120" s="2" t="s">
        <v>350</v>
      </c>
      <c r="F120" s="28" t="s">
        <v>197</v>
      </c>
      <c r="G120" s="51"/>
    </row>
    <row r="121" spans="1:7" s="6" customFormat="1" ht="16" customHeight="1" x14ac:dyDescent="0.25">
      <c r="A121" s="50">
        <v>117</v>
      </c>
      <c r="B121" s="8" t="str">
        <f>HYPERLINK("https://pubmed.ncbi.nlm.nih.gov/37074705","PMID: 37074705 - Efficacy and Safety of Tralokinumab in Adolescents With Moderate to Severe Atopic Dermatitis: The Phase 3 ECZTRA 6 Randomized Clinical Trial")</f>
        <v>PMID: 37074705 - Efficacy and Safety of Tralokinumab in Adolescents With Moderate to Severe Atopic Dermatitis: The Phase 3 ECZTRA 6 Randomized Clinical Trial</v>
      </c>
      <c r="C121" s="26" t="s">
        <v>197</v>
      </c>
      <c r="D121" s="26" t="s">
        <v>353</v>
      </c>
      <c r="E121" s="2" t="s">
        <v>354</v>
      </c>
      <c r="F121" s="28" t="s">
        <v>197</v>
      </c>
      <c r="G121" s="51"/>
    </row>
    <row r="122" spans="1:7" s="6" customFormat="1" ht="16" customHeight="1" x14ac:dyDescent="0.25">
      <c r="A122" s="50">
        <v>118</v>
      </c>
      <c r="B122" s="8" t="str">
        <f>HYPERLINK("https://pubmed.ncbi.nlm.nih.gov/37178404","PMID: 37178404 - Lack of effect of benralizumab on signs and symptoms of moderate-to-severe atopic dermatitis: Results from the phase 2 randomized, double-blind, placebo-controlled HILLIER trial")</f>
        <v>PMID: 37178404 - Lack of effect of benralizumab on signs and symptoms of moderate-to-severe atopic dermatitis: Results from the phase 2 randomized, double-blind, placebo-controlled HILLIER trial</v>
      </c>
      <c r="C122" s="26" t="s">
        <v>197</v>
      </c>
      <c r="D122" s="26" t="s">
        <v>876</v>
      </c>
      <c r="E122" s="2" t="s">
        <v>877</v>
      </c>
      <c r="F122" s="28" t="s">
        <v>197</v>
      </c>
      <c r="G122" s="51"/>
    </row>
    <row r="123" spans="1:7" s="6" customFormat="1" ht="16" customHeight="1" x14ac:dyDescent="0.25">
      <c r="A123" s="50">
        <v>119</v>
      </c>
      <c r="B123" s="8" t="str">
        <f>HYPERLINK("https://pubmed.ncbi.nlm.nih.gov/37184828","PMID: 37184828 - Once-Daily Crisaborole Ointment, 2%, as a Long-Term Maintenance Treatment in Patients Aged ≥ 3 Months with Mild-to-Moderate Atopic Dermatitis: A 52-Week Clinical Study")</f>
        <v>PMID: 37184828 - Once-Daily Crisaborole Ointment, 2%, as a Long-Term Maintenance Treatment in Patients Aged ≥ 3 Months with Mild-to-Moderate Atopic Dermatitis: A 52-Week Clinical Study</v>
      </c>
      <c r="C123" s="26" t="s">
        <v>197</v>
      </c>
      <c r="D123" s="26" t="s">
        <v>363</v>
      </c>
      <c r="E123" s="2" t="s">
        <v>364</v>
      </c>
      <c r="F123" s="28" t="s">
        <v>197</v>
      </c>
      <c r="G123" s="51"/>
    </row>
    <row r="124" spans="1:7" s="6" customFormat="1" ht="16" customHeight="1" x14ac:dyDescent="0.25">
      <c r="A124" s="50">
        <v>120</v>
      </c>
      <c r="B124" s="8" t="str">
        <f>HYPERLINK("https://pubmed.ncbi.nlm.nih.gov/37213005","PMID: 37213005 - Efficacy and Safety of Abrocitinib in Patients with Severe and/or Difficult-to-Treat Atopic Dermatitis: A Post Hoc Analysis of the Randomized Phase 3 JADE COMPARE Trial")</f>
        <v>PMID: 37213005 - Efficacy and Safety of Abrocitinib in Patients with Severe and/or Difficult-to-Treat Atopic Dermatitis: A Post Hoc Analysis of the Randomized Phase 3 JADE COMPARE Trial</v>
      </c>
      <c r="C124" s="26" t="s">
        <v>197</v>
      </c>
      <c r="D124" s="26" t="s">
        <v>345</v>
      </c>
      <c r="E124" s="2" t="s">
        <v>346</v>
      </c>
      <c r="F124" s="28" t="s">
        <v>197</v>
      </c>
      <c r="G124" s="51"/>
    </row>
    <row r="125" spans="1:7" s="6" customFormat="1" ht="16" customHeight="1" x14ac:dyDescent="0.25">
      <c r="A125" s="50">
        <v>121</v>
      </c>
      <c r="B125" s="8" t="str">
        <f>HYPERLINK("https://pubmed.ncbi.nlm.nih.gov/37300760","PMID: 37300760 - Dupilumab Provides Clinically Meaningful Responses in Children Aged 6-11 Years with Severe Atopic Dermatitis: Post Hoc Analysis Results from a Phase III Trial")</f>
        <v>PMID: 37300760 - Dupilumab Provides Clinically Meaningful Responses in Children Aged 6-11 Years with Severe Atopic Dermatitis: Post Hoc Analysis Results from a Phase III Trial</v>
      </c>
      <c r="C125" s="26" t="s">
        <v>197</v>
      </c>
      <c r="D125" s="26" t="s">
        <v>928</v>
      </c>
      <c r="E125" s="2" t="s">
        <v>950</v>
      </c>
      <c r="F125" s="28" t="s">
        <v>978</v>
      </c>
      <c r="G125" s="51"/>
    </row>
    <row r="126" spans="1:7" s="6" customFormat="1" ht="16" customHeight="1" x14ac:dyDescent="0.25">
      <c r="A126" s="50">
        <v>122</v>
      </c>
      <c r="B126" s="8" t="str">
        <f>HYPERLINK("https://pubmed.ncbi.nlm.nih.gov/37319109","PMID: 37319109 - Abrocitinib effect on patient-reported outcomes in patients with moderate-to-severe atopic dermatitis: Results from phase 3 studies, including the long-term extension JADE EXTEND study")</f>
        <v>PMID: 37319109 - Abrocitinib effect on patient-reported outcomes in patients with moderate-to-severe atopic dermatitis: Results from phase 3 studies, including the long-term extension JADE EXTEND study</v>
      </c>
      <c r="C126" s="26" t="s">
        <v>197</v>
      </c>
      <c r="D126" s="26" t="s">
        <v>878</v>
      </c>
      <c r="E126" s="2" t="s">
        <v>879</v>
      </c>
      <c r="F126" s="28" t="s">
        <v>197</v>
      </c>
      <c r="G126" s="51"/>
    </row>
    <row r="127" spans="1:7" s="6" customFormat="1" ht="16" customHeight="1" x14ac:dyDescent="0.25">
      <c r="A127" s="50">
        <v>123</v>
      </c>
      <c r="B127" s="8" t="str">
        <f>HYPERLINK("https://pubmed.ncbi.nlm.nih.gov/37463508","PMID: 37463508 - Safety and efficacy of amlitelimab, a fully human nondepleting, noncytotoxic anti-OX40 ligand monoclonal antibody, in atopic dermatitis: results of a phase IIa randomized placebo-controlled trial")</f>
        <v>PMID: 37463508 - Safety and efficacy of amlitelimab, a fully human nondepleting, noncytotoxic anti-OX40 ligand monoclonal antibody, in atopic dermatitis: results of a phase IIa randomized placebo-controlled trial</v>
      </c>
      <c r="C127" s="26" t="s">
        <v>197</v>
      </c>
      <c r="D127" s="26" t="s">
        <v>880</v>
      </c>
      <c r="E127" s="2" t="s">
        <v>881</v>
      </c>
      <c r="F127" s="28" t="s">
        <v>197</v>
      </c>
      <c r="G127" s="51"/>
    </row>
    <row r="128" spans="1:7" s="6" customFormat="1" ht="16" customHeight="1" x14ac:dyDescent="0.25">
      <c r="A128" s="50">
        <v>124</v>
      </c>
      <c r="B128" s="8" t="str">
        <f>HYPERLINK("https://pubmed.ncbi.nlm.nih.gov/37562034","PMID: 37562034 - Dupilumab significantly improves sleep in adults with atopic dermatitis: results from the 12-week placebo-controlled period of the 24-week phase IV randomized double-blinded placebo-controlled DUPISTAD study")</f>
        <v>PMID: 37562034 - Dupilumab significantly improves sleep in adults with atopic dermatitis: results from the 12-week placebo-controlled period of the 24-week phase IV randomized double-blinded placebo-controlled DUPISTAD study</v>
      </c>
      <c r="C128" s="26" t="s">
        <v>197</v>
      </c>
      <c r="D128" s="26" t="s">
        <v>882</v>
      </c>
      <c r="E128" s="2" t="s">
        <v>883</v>
      </c>
      <c r="F128" s="28" t="s">
        <v>197</v>
      </c>
      <c r="G128" s="51"/>
    </row>
    <row r="129" spans="1:7" s="6" customFormat="1" ht="16" customHeight="1" x14ac:dyDescent="0.25">
      <c r="A129" s="50">
        <v>125</v>
      </c>
      <c r="B129" s="8" t="str">
        <f>HYPERLINK("https://pubmed.ncbi.nlm.nih.gov/37574761","PMID: 37574761 - Emollients for preventing atopic eczema: Cost-effectiveness analysis of the BEEP trial")</f>
        <v>PMID: 37574761 - Emollients for preventing atopic eczema: Cost-effectiveness analysis of the BEEP trial</v>
      </c>
      <c r="C129" s="26" t="s">
        <v>223</v>
      </c>
      <c r="D129" s="26" t="s">
        <v>884</v>
      </c>
      <c r="E129" s="2" t="s">
        <v>885</v>
      </c>
      <c r="F129" s="28" t="s">
        <v>197</v>
      </c>
      <c r="G129" s="51"/>
    </row>
    <row r="130" spans="1:7" s="6" customFormat="1" ht="16" customHeight="1" x14ac:dyDescent="0.25">
      <c r="A130" s="50">
        <v>126</v>
      </c>
      <c r="B130" s="8" t="str">
        <f>HYPERLINK("https://pubmed.ncbi.nlm.nih.gov/37722926","PMID: 37722926 - Efficacy and safety of ciclosporin versus methotrexate in the treatment of severe atopic dermatitis in children and young people (TREAT): a multicentre parallel group assessor-blinded clinical trial")</f>
        <v>PMID: 37722926 - Efficacy and safety of ciclosporin versus methotrexate in the treatment of severe atopic dermatitis in children and young people (TREAT): a multicentre parallel group assessor-blinded clinical trial</v>
      </c>
      <c r="C130" s="26" t="s">
        <v>197</v>
      </c>
      <c r="D130" s="26" t="s">
        <v>929</v>
      </c>
      <c r="E130" s="2" t="s">
        <v>951</v>
      </c>
      <c r="F130" s="28" t="s">
        <v>978</v>
      </c>
      <c r="G130" s="51"/>
    </row>
    <row r="131" spans="1:7" s="6" customFormat="1" ht="16" customHeight="1" x14ac:dyDescent="0.25">
      <c r="A131" s="50">
        <v>127</v>
      </c>
      <c r="B131" s="8" t="str">
        <f>HYPERLINK("https://pubmed.ncbi.nlm.nih.gov/37800475","PMID: 37800475 - Frequency of newborn bathing in the first 9weeks of life and related factors: An observational study in a community-based sample from Meta-LARC")</f>
        <v>PMID: 37800475 - Frequency of newborn bathing in the first 9weeks of life and related factors: An observational study in a community-based sample from Meta-LARC</v>
      </c>
      <c r="C131" s="26" t="s">
        <v>197</v>
      </c>
      <c r="D131" s="26" t="s">
        <v>886</v>
      </c>
      <c r="E131" s="2" t="s">
        <v>887</v>
      </c>
      <c r="F131" s="28" t="s">
        <v>197</v>
      </c>
      <c r="G131" s="51"/>
    </row>
    <row r="132" spans="1:7" s="6" customFormat="1" ht="16" customHeight="1" x14ac:dyDescent="0.25">
      <c r="A132" s="50">
        <v>128</v>
      </c>
      <c r="B132" s="8" t="str">
        <f>HYPERLINK("https://pubmed.ncbi.nlm.nih.gov/37804473","PMID: 37804473 - Tralokinumab Provides Clinically Meaningful Responses at Week 16 in Adults with Moderate-to-Severe Atopic Dermatitis Who Do Not Achieve IGA 0/1")</f>
        <v>PMID: 37804473 - Tralokinumab Provides Clinically Meaningful Responses at Week 16 in Adults with Moderate-to-Severe Atopic Dermatitis Who Do Not Achieve IGA 0/1</v>
      </c>
      <c r="C132" s="26" t="s">
        <v>197</v>
      </c>
      <c r="D132" s="26" t="s">
        <v>888</v>
      </c>
      <c r="E132" s="2" t="s">
        <v>889</v>
      </c>
      <c r="F132" s="28" t="s">
        <v>197</v>
      </c>
      <c r="G132" s="51"/>
    </row>
    <row r="133" spans="1:7" s="6" customFormat="1" ht="16" customHeight="1" x14ac:dyDescent="0.25">
      <c r="A133" s="50">
        <v>129</v>
      </c>
      <c r="B133" s="8" t="str">
        <f>HYPERLINK("https://pubmed.ncbi.nlm.nih.gov/37924282","PMID: 37924282 - Comparison of lotions, creams, gels and ointments for the treatment of childhood eczema: the BEE RCT")</f>
        <v>PMID: 37924282 - Comparison of lotions, creams, gels and ointments for the treatment of childhood eczema: the BEE RCT</v>
      </c>
      <c r="C133" s="26" t="s">
        <v>197</v>
      </c>
      <c r="D133" s="26" t="s">
        <v>930</v>
      </c>
      <c r="E133" s="2" t="s">
        <v>952</v>
      </c>
      <c r="F133" s="28" t="s">
        <v>978</v>
      </c>
      <c r="G133" s="51"/>
    </row>
    <row r="134" spans="1:7" s="6" customFormat="1" ht="16" customHeight="1" x14ac:dyDescent="0.25">
      <c r="A134" s="50">
        <v>130</v>
      </c>
      <c r="B134" s="8" t="str">
        <f>HYPERLINK("https://pubmed.ncbi.nlm.nih.gov/37988255","PMID: 37988255 - Efficacy and safety of abrocitinib in patients with moderate-to-severe atopic dermatitis and comorbid allergies")</f>
        <v>PMID: 37988255 - Efficacy and safety of abrocitinib in patients with moderate-to-severe atopic dermatitis and comorbid allergies</v>
      </c>
      <c r="C134" s="26" t="s">
        <v>197</v>
      </c>
      <c r="D134" s="26" t="s">
        <v>890</v>
      </c>
      <c r="E134" s="2" t="s">
        <v>891</v>
      </c>
      <c r="F134" s="28" t="s">
        <v>197</v>
      </c>
      <c r="G134" s="51"/>
    </row>
    <row r="135" spans="1:7" s="6" customFormat="1" ht="16" customHeight="1" x14ac:dyDescent="0.25">
      <c r="A135" s="50">
        <v>131</v>
      </c>
      <c r="B135" s="8" t="str">
        <f>HYPERLINK("https://pubmed.ncbi.nlm.nih.gov/38206678/","PMID: 38206678 - Impact of Crisaborole in Treatment-Experienced Patients With Mild-to-Moderate Atopic Dermatitis")</f>
        <v>PMID: 38206678 - Impact of Crisaborole in Treatment-Experienced Patients With Mild-to-Moderate Atopic Dermatitis</v>
      </c>
      <c r="C135" s="26" t="s">
        <v>197</v>
      </c>
      <c r="D135" s="26" t="s">
        <v>932</v>
      </c>
      <c r="E135" s="2" t="s">
        <v>954</v>
      </c>
      <c r="F135" s="28" t="s">
        <v>978</v>
      </c>
      <c r="G135" s="51"/>
    </row>
    <row r="136" spans="1:7" s="6" customFormat="1" ht="16" customHeight="1" x14ac:dyDescent="0.25">
      <c r="A136" s="50">
        <v>132</v>
      </c>
      <c r="B136" s="8" t="str">
        <f>HYPERLINK("https://pubmed.ncbi.nlm.nih.gov/38348724/","PMID: 38348724 - Clinically Meaningful Responses to Dupilumab Among Children Aged 6 Months to 5 Years with Moderate-to-severe Atopic Dermatitis ……...")</f>
        <v>PMID: 38348724 - Clinically Meaningful Responses to Dupilumab Among Children Aged 6 Months to 5 Years with Moderate-to-severe Atopic Dermatitis ……...</v>
      </c>
      <c r="C136" s="26" t="s">
        <v>197</v>
      </c>
      <c r="D136" s="26" t="s">
        <v>931</v>
      </c>
      <c r="E136" s="2" t="s">
        <v>953</v>
      </c>
      <c r="F136" s="28" t="s">
        <v>978</v>
      </c>
      <c r="G136" s="51"/>
    </row>
    <row r="137" spans="1:7" s="6" customFormat="1" ht="16" customHeight="1" x14ac:dyDescent="0.25">
      <c r="A137" s="50">
        <v>133</v>
      </c>
      <c r="B137" s="8" t="str">
        <f>HYPERLINK("https://www.businesswire.com/news/home/20231011683203/en/Temtokibart-achieves-First-Subject-First-Treatment-FSFT-milestone-in-Phase-2b-trial","Temtokibart achieves First Subject First Treatment (FSFT) milestone in Phase 2b trial")</f>
        <v>Temtokibart achieves First Subject First Treatment (FSFT) milestone in Phase 2b trial</v>
      </c>
      <c r="C137" s="26" t="s">
        <v>990</v>
      </c>
      <c r="D137" s="26" t="s">
        <v>991</v>
      </c>
      <c r="E137" s="2" t="s">
        <v>989</v>
      </c>
      <c r="F137" s="28" t="s">
        <v>197</v>
      </c>
      <c r="G137" s="51"/>
    </row>
  </sheetData>
  <autoFilter ref="A4:G4"/>
  <sortState ref="A5:G137">
    <sortCondition ref="D5:D137"/>
    <sortCondition ref="B5:B137"/>
  </sortState>
  <customSheetViews>
    <customSheetView guid="{2D811C32-FD73-4975-B2DF-EE3D43CC76F3}" filter="1" showAutoFilter="1">
      <pageMargins left="0" right="0" top="0" bottom="0" header="0" footer="0"/>
      <autoFilter ref="A1:E873"/>
    </customSheetView>
  </customSheetViews>
  <mergeCells count="2">
    <mergeCell ref="A2:G3"/>
    <mergeCell ref="A1:G1"/>
  </mergeCells>
  <hyperlinks>
    <hyperlink ref="E69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 display="https://clinicaltrials.gov/show/NCT03542994"/>
    <hyperlink ref="E14" r:id="rId11" display="https://clinicaltrials.gov/show/NCT03738397"/>
    <hyperlink ref="E15" r:id="rId12" display="https://clinicaltrials.gov/show/NCT03742414"/>
    <hyperlink ref="E17" r:id="rId13" display="https://clinicaltrials.gov/show/NCT03796676"/>
    <hyperlink ref="E18" r:id="rId14" display="https://clinicaltrials.gov/show/NCT03809663"/>
    <hyperlink ref="E19" r:id="rId15" display="https://clinicaltrials.gov/show/NCT03823794"/>
    <hyperlink ref="E20" r:id="rId16" display="https://clinicaltrials.gov/show/NCT03871998"/>
    <hyperlink ref="E21" r:id="rId17" display="https://clinicaltrials.gov/show/NCT03901144"/>
    <hyperlink ref="E22" r:id="rId18" display="https://clinicaltrials.gov/show/NCT03948334"/>
    <hyperlink ref="E24" r:id="rId19" display="https://clinicaltrials.gov/show/NCT03985943"/>
    <hyperlink ref="E25" r:id="rId20" display="https://clinicaltrials.gov/show/NCT03989206"/>
    <hyperlink ref="E26" r:id="rId21" display="https://clinicaltrials.gov/show/NCT04033367"/>
    <hyperlink ref="E27" r:id="rId22" display="https://clinicaltrials.gov/show/NCT04194814"/>
    <hyperlink ref="E28" r:id="rId23" display="https://clinicaltrials.gov/show/NCT04195698"/>
    <hyperlink ref="E29" r:id="rId24" display="https://clinicaltrials.gov/show/NCT04202679"/>
    <hyperlink ref="E30" r:id="rId25" display="https://clinicaltrials.gov/show/NCT04212169"/>
    <hyperlink ref="E31" r:id="rId26" display="https://clinicaltrials.gov/show/NCT04295824"/>
    <hyperlink ref="E32" r:id="rId27" display="https://clinicaltrials.gov/show/NCT04643457"/>
    <hyperlink ref="E34" r:id="rId28" display="https://clinicaltrials.gov/show/NCT04737304"/>
    <hyperlink ref="E35" r:id="rId29" display="https://clinicaltrials.gov/show/NCT04750161"/>
    <hyperlink ref="E36" r:id="rId30" display="https://clinicaltrials.gov/show/NCT04927195"/>
    <hyperlink ref="E38" r:id="rId31" display="https://clinicaltrials.gov/show/NCT05131477"/>
    <hyperlink ref="E39" r:id="rId32" display="https://clinicaltrials.gov/show/NCT05149313"/>
    <hyperlink ref="E40" r:id="rId33" display="https://clinicaltrials.gov/show/NCT05375955"/>
    <hyperlink ref="E42" r:id="rId34"/>
    <hyperlink ref="E43" r:id="rId35" display="https://clinicaltrials.gov/show/NCT05492578"/>
    <hyperlink ref="E44" r:id="rId36"/>
    <hyperlink ref="E45" r:id="rId37"/>
    <hyperlink ref="E46" r:id="rId38"/>
    <hyperlink ref="E47" r:id="rId39" display="https://clinicaltrials.gov/show/NCT05656911"/>
    <hyperlink ref="E48" r:id="rId40"/>
    <hyperlink ref="E49" r:id="rId41"/>
    <hyperlink ref="E50" r:id="rId42" display="https://clinicaltrials.gov/show/NCT05790330"/>
    <hyperlink ref="E51" r:id="rId43"/>
    <hyperlink ref="E52" r:id="rId44"/>
    <hyperlink ref="E53" r:id="rId45"/>
    <hyperlink ref="E54" r:id="rId46"/>
    <hyperlink ref="E55" r:id="rId47"/>
    <hyperlink ref="E58" r:id="rId48"/>
    <hyperlink ref="E59" r:id="rId49"/>
    <hyperlink ref="E60" r:id="rId50"/>
    <hyperlink ref="E61" r:id="rId51"/>
    <hyperlink ref="E62" r:id="rId52"/>
    <hyperlink ref="E63" r:id="rId53"/>
    <hyperlink ref="E64" r:id="rId54"/>
    <hyperlink ref="E65" r:id="rId55"/>
    <hyperlink ref="E67" r:id="rId56"/>
    <hyperlink ref="E68" r:id="rId57"/>
    <hyperlink ref="E70" r:id="rId58"/>
    <hyperlink ref="E71" r:id="rId59"/>
    <hyperlink ref="E72" r:id="rId60"/>
    <hyperlink ref="E74" r:id="rId61"/>
    <hyperlink ref="E75" r:id="rId62"/>
    <hyperlink ref="E79" r:id="rId63"/>
    <hyperlink ref="E80" r:id="rId64"/>
    <hyperlink ref="E81" r:id="rId65"/>
    <hyperlink ref="E82" r:id="rId66"/>
    <hyperlink ref="E83" r:id="rId67"/>
    <hyperlink ref="E84" r:id="rId68"/>
    <hyperlink ref="E85" r:id="rId69"/>
    <hyperlink ref="E86" r:id="rId70"/>
    <hyperlink ref="E87" r:id="rId71"/>
    <hyperlink ref="E88" r:id="rId72"/>
    <hyperlink ref="E89" r:id="rId73"/>
    <hyperlink ref="E90" r:id="rId74"/>
    <hyperlink ref="E91" r:id="rId75"/>
    <hyperlink ref="E92" r:id="rId76"/>
    <hyperlink ref="E93" r:id="rId77"/>
    <hyperlink ref="E94" r:id="rId78"/>
    <hyperlink ref="E95" r:id="rId79"/>
    <hyperlink ref="E96" r:id="rId80"/>
    <hyperlink ref="E98" r:id="rId81"/>
    <hyperlink ref="E99" r:id="rId82"/>
    <hyperlink ref="E100" r:id="rId83"/>
    <hyperlink ref="E102" r:id="rId84"/>
    <hyperlink ref="E103" r:id="rId85"/>
    <hyperlink ref="E105" r:id="rId86"/>
    <hyperlink ref="E106" r:id="rId87"/>
    <hyperlink ref="E107" r:id="rId88"/>
    <hyperlink ref="E108" r:id="rId89"/>
    <hyperlink ref="E109" r:id="rId90"/>
    <hyperlink ref="E111" r:id="rId91"/>
    <hyperlink ref="E113" r:id="rId92"/>
    <hyperlink ref="E114" r:id="rId93"/>
    <hyperlink ref="E115" r:id="rId94"/>
    <hyperlink ref="E116" r:id="rId95"/>
    <hyperlink ref="E117" r:id="rId96"/>
    <hyperlink ref="E118" r:id="rId97"/>
    <hyperlink ref="E119" r:id="rId98"/>
    <hyperlink ref="E120" r:id="rId99"/>
    <hyperlink ref="E121" r:id="rId100"/>
    <hyperlink ref="E122" r:id="rId101"/>
    <hyperlink ref="E123" r:id="rId102"/>
    <hyperlink ref="E124" r:id="rId103"/>
    <hyperlink ref="E126" r:id="rId104"/>
    <hyperlink ref="E127" r:id="rId105"/>
    <hyperlink ref="E128" r:id="rId106"/>
    <hyperlink ref="E129" r:id="rId107"/>
    <hyperlink ref="E131" r:id="rId108"/>
    <hyperlink ref="E132" r:id="rId109"/>
    <hyperlink ref="E134" r:id="rId110"/>
    <hyperlink ref="E16" r:id="rId111"/>
    <hyperlink ref="E23" r:id="rId112"/>
    <hyperlink ref="E33" r:id="rId113"/>
    <hyperlink ref="E37" r:id="rId114"/>
    <hyperlink ref="E41" r:id="rId115"/>
    <hyperlink ref="E56" r:id="rId116"/>
    <hyperlink ref="E57" r:id="rId117"/>
    <hyperlink ref="E66" r:id="rId118"/>
    <hyperlink ref="E73" r:id="rId119"/>
    <hyperlink ref="E76" r:id="rId120"/>
    <hyperlink ref="E77" r:id="rId121"/>
    <hyperlink ref="E78" r:id="rId122"/>
    <hyperlink ref="E97" r:id="rId123"/>
    <hyperlink ref="E101" r:id="rId124"/>
    <hyperlink ref="E104" r:id="rId125"/>
    <hyperlink ref="E110" r:id="rId126"/>
    <hyperlink ref="E112" r:id="rId127"/>
    <hyperlink ref="E125" r:id="rId128"/>
    <hyperlink ref="E130" r:id="rId129"/>
    <hyperlink ref="E133" r:id="rId130"/>
    <hyperlink ref="E135" r:id="rId131"/>
    <hyperlink ref="E136" r:id="rId132"/>
    <hyperlink ref="E137" r:id="rId133"/>
  </hyperlinks>
  <pageMargins left="0.7" right="0.7" top="0.75" bottom="0.75" header="0" footer="0"/>
  <pageSetup orientation="portrait" r:id="rId1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18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" defaultRowHeight="12.5" x14ac:dyDescent="0.25"/>
  <cols>
    <col min="1" max="1" width="6.1796875" style="10" customWidth="1"/>
    <col min="2" max="2" width="70.81640625" style="10" customWidth="1"/>
    <col min="3" max="3" width="17.81640625" style="10" customWidth="1"/>
    <col min="4" max="4" width="16" style="10" customWidth="1"/>
    <col min="5" max="5" width="14.81640625" style="10" customWidth="1"/>
    <col min="6" max="6" width="36.81640625" style="10" customWidth="1"/>
    <col min="7" max="7" width="24.26953125" style="10" customWidth="1"/>
    <col min="8" max="8" width="42" style="10" customWidth="1"/>
    <col min="9" max="16384" width="9" style="10"/>
  </cols>
  <sheetData>
    <row r="1" spans="1:8" ht="25.4" customHeight="1" x14ac:dyDescent="0.25">
      <c r="A1" s="61" t="s">
        <v>4</v>
      </c>
      <c r="B1" s="61"/>
      <c r="C1" s="61"/>
      <c r="D1" s="61"/>
      <c r="E1" s="61"/>
      <c r="F1" s="61"/>
      <c r="G1" s="61"/>
      <c r="H1" s="61"/>
    </row>
    <row r="2" spans="1:8" ht="15" customHeight="1" x14ac:dyDescent="0.25">
      <c r="A2" s="62" t="s">
        <v>1</v>
      </c>
      <c r="B2" s="76"/>
      <c r="C2" s="76"/>
      <c r="D2" s="76"/>
      <c r="E2" s="76"/>
      <c r="F2" s="76"/>
      <c r="G2" s="76"/>
      <c r="H2" s="76"/>
    </row>
    <row r="3" spans="1:8" ht="15" customHeight="1" x14ac:dyDescent="0.25">
      <c r="A3" s="76"/>
      <c r="B3" s="76"/>
      <c r="C3" s="76"/>
      <c r="D3" s="76"/>
      <c r="E3" s="76"/>
      <c r="F3" s="76"/>
      <c r="G3" s="76"/>
      <c r="H3" s="76"/>
    </row>
    <row r="4" spans="1:8" ht="28.5" customHeight="1" x14ac:dyDescent="0.25">
      <c r="A4" s="36" t="s">
        <v>14</v>
      </c>
      <c r="B4" s="36" t="s">
        <v>5</v>
      </c>
      <c r="C4" s="36" t="s">
        <v>19</v>
      </c>
      <c r="D4" s="36" t="s">
        <v>20</v>
      </c>
      <c r="E4" s="36" t="s">
        <v>6</v>
      </c>
      <c r="F4" s="36" t="s">
        <v>16</v>
      </c>
      <c r="G4" s="36" t="s">
        <v>902</v>
      </c>
      <c r="H4" s="36" t="s">
        <v>3</v>
      </c>
    </row>
    <row r="5" spans="1:8" ht="16" customHeight="1" x14ac:dyDescent="0.25">
      <c r="A5" s="48">
        <v>1</v>
      </c>
      <c r="B5" s="8" t="str">
        <f>HYPERLINK("https://www.wcd2023singapore.org/wp-content/uploads/2023/06/Congress-Programme-29-Final.pdf","2023 - 25th World Congress of Dermatology")</f>
        <v>2023 - 25th World Congress of Dermatology</v>
      </c>
      <c r="C5" s="53" t="s">
        <v>30</v>
      </c>
      <c r="D5" s="53" t="s">
        <v>30</v>
      </c>
      <c r="E5" s="53" t="s">
        <v>371</v>
      </c>
      <c r="F5" s="2" t="s">
        <v>397</v>
      </c>
      <c r="G5" s="28" t="s">
        <v>904</v>
      </c>
      <c r="H5" s="53"/>
    </row>
    <row r="6" spans="1:8" ht="16" customHeight="1" x14ac:dyDescent="0.25">
      <c r="A6" s="48">
        <v>2</v>
      </c>
      <c r="B6" s="8" t="str">
        <f>HYPERLINK("https://2024.dnanurse.org/","2024 - 42nd Dermatology Nurses’ Association (DNA) Annual Convention")</f>
        <v>2024 - 42nd Dermatology Nurses’ Association (DNA) Annual Convention</v>
      </c>
      <c r="C6" s="53" t="s">
        <v>30</v>
      </c>
      <c r="D6" s="53" t="s">
        <v>30</v>
      </c>
      <c r="E6" s="53" t="s">
        <v>376</v>
      </c>
      <c r="F6" s="2" t="s">
        <v>835</v>
      </c>
      <c r="G6" s="28" t="s">
        <v>904</v>
      </c>
      <c r="H6" s="53"/>
    </row>
    <row r="7" spans="1:8" ht="16" customHeight="1" x14ac:dyDescent="0.25">
      <c r="A7" s="48">
        <v>3</v>
      </c>
      <c r="B7" s="8" t="str">
        <f>HYPERLINK("https://2023.dnanurse.org/about/#","2023 - 41st Dermatology Nurses’ Association (DNA) Annual Convention")</f>
        <v>2023 - 41st Dermatology Nurses’ Association (DNA) Annual Convention</v>
      </c>
      <c r="C7" s="53" t="s">
        <v>30</v>
      </c>
      <c r="D7" s="53" t="s">
        <v>30</v>
      </c>
      <c r="E7" s="53" t="s">
        <v>376</v>
      </c>
      <c r="F7" s="2" t="s">
        <v>403</v>
      </c>
      <c r="G7" s="28" t="s">
        <v>904</v>
      </c>
      <c r="H7" s="53"/>
    </row>
    <row r="8" spans="1:8" ht="16" customHeight="1" x14ac:dyDescent="0.25">
      <c r="A8" s="48">
        <v>4</v>
      </c>
      <c r="B8" s="8" t="str">
        <f>HYPERLINK("https://2022.dnanurse.org/about/","2022 - 40th Dermatology Nurses’ Association (DNA) Annual Convention")</f>
        <v>2022 - 40th Dermatology Nurses’ Association (DNA) Annual Convention</v>
      </c>
      <c r="C8" s="53" t="s">
        <v>30</v>
      </c>
      <c r="D8" s="53" t="s">
        <v>30</v>
      </c>
      <c r="E8" s="53" t="s">
        <v>376</v>
      </c>
      <c r="F8" s="2" t="s">
        <v>404</v>
      </c>
      <c r="G8" s="28" t="s">
        <v>904</v>
      </c>
      <c r="H8" s="53"/>
    </row>
    <row r="9" spans="1:8" ht="16" customHeight="1" x14ac:dyDescent="0.25">
      <c r="A9" s="48">
        <v>5</v>
      </c>
      <c r="B9" s="8" t="str">
        <f>HYPERLINK("https://2021.dnanurse.org/about/","2021 - 39th Dermatology Nurses’ Association (DNA) Annual Convention")</f>
        <v>2021 - 39th Dermatology Nurses’ Association (DNA) Annual Convention</v>
      </c>
      <c r="C9" s="53" t="s">
        <v>30</v>
      </c>
      <c r="D9" s="53" t="s">
        <v>30</v>
      </c>
      <c r="E9" s="53" t="s">
        <v>376</v>
      </c>
      <c r="F9" s="2" t="s">
        <v>405</v>
      </c>
      <c r="G9" s="28" t="s">
        <v>904</v>
      </c>
      <c r="H9" s="53"/>
    </row>
    <row r="10" spans="1:8" ht="16" customHeight="1" x14ac:dyDescent="0.25">
      <c r="A10" s="48">
        <v>6</v>
      </c>
      <c r="B10" s="8" t="str">
        <f>HYPERLINK("https://2020.dnanurse.org/","2020 - 38th Dermatology Nurses’ Association (DNA) Annual Convention")</f>
        <v>2020 - 38th Dermatology Nurses’ Association (DNA) Annual Convention</v>
      </c>
      <c r="C10" s="53" t="s">
        <v>30</v>
      </c>
      <c r="D10" s="53" t="s">
        <v>30</v>
      </c>
      <c r="E10" s="53" t="s">
        <v>376</v>
      </c>
      <c r="F10" s="2" t="s">
        <v>406</v>
      </c>
      <c r="G10" s="28" t="s">
        <v>904</v>
      </c>
      <c r="H10" s="53"/>
    </row>
    <row r="11" spans="1:8" ht="16" customHeight="1" x14ac:dyDescent="0.25">
      <c r="A11" s="48">
        <v>7</v>
      </c>
      <c r="B11" s="8" t="str">
        <f>HYPERLINK("https://2019.dnanurse.org/schedules/","2019 - 37th Dermatology Nurses’ Association (DNA) Annual Convention")</f>
        <v>2019 - 37th Dermatology Nurses’ Association (DNA) Annual Convention</v>
      </c>
      <c r="C11" s="53" t="s">
        <v>30</v>
      </c>
      <c r="D11" s="53" t="s">
        <v>30</v>
      </c>
      <c r="E11" s="53" t="s">
        <v>376</v>
      </c>
      <c r="F11" s="2" t="s">
        <v>407</v>
      </c>
      <c r="G11" s="28" t="s">
        <v>904</v>
      </c>
      <c r="H11" s="53"/>
    </row>
    <row r="12" spans="1:8" ht="16" customHeight="1" x14ac:dyDescent="0.25">
      <c r="A12" s="48">
        <v>8</v>
      </c>
      <c r="B12" s="8" t="str">
        <f>HYPERLINK("https://revolutionizingad.com/virtual-symposium-agenda","2023 - 5th Annual Revolutionizing Atopic Dermatitis (RAD) Conference")</f>
        <v>2023 - 5th Annual Revolutionizing Atopic Dermatitis (RAD) Conference</v>
      </c>
      <c r="C12" s="53" t="s">
        <v>30</v>
      </c>
      <c r="D12" s="53" t="s">
        <v>30</v>
      </c>
      <c r="E12" s="53" t="s">
        <v>382</v>
      </c>
      <c r="F12" s="2" t="s">
        <v>415</v>
      </c>
      <c r="G12" s="28" t="s">
        <v>197</v>
      </c>
      <c r="H12" s="53"/>
    </row>
    <row r="13" spans="1:8" ht="16" customHeight="1" x14ac:dyDescent="0.25">
      <c r="A13" s="48">
        <v>9</v>
      </c>
      <c r="B13" s="8" t="str">
        <f>HYPERLINK("https://revolutionizingad.com/images/April2022/Prospectus/RAD_2022_Live_Prospectus_with_Agenda_114_v3_28Jan2022.pdf","2022 - 4th Annual Revolutionizing Atopic Dermatitis (RAD) Conference")</f>
        <v>2022 - 4th Annual Revolutionizing Atopic Dermatitis (RAD) Conference</v>
      </c>
      <c r="C13" s="53" t="s">
        <v>30</v>
      </c>
      <c r="D13" s="53" t="s">
        <v>30</v>
      </c>
      <c r="E13" s="53" t="s">
        <v>382</v>
      </c>
      <c r="F13" s="2" t="s">
        <v>416</v>
      </c>
      <c r="G13" s="28" t="s">
        <v>197</v>
      </c>
      <c r="H13" s="53"/>
    </row>
    <row r="14" spans="1:8" ht="16" customHeight="1" x14ac:dyDescent="0.25">
      <c r="A14" s="48">
        <v>10</v>
      </c>
      <c r="B14" s="8" t="str">
        <f>HYPERLINK("https://revolutionizingad.com/images/Dec2021Conference/RAD_2021_Updated_Prospectus_-_December_2021_Updated_8Oct2021.pdf","2021 - 3rd Annual Revolutionizing Atopic Dermatitis (RAD) Virtual Conference")</f>
        <v>2021 - 3rd Annual Revolutionizing Atopic Dermatitis (RAD) Virtual Conference</v>
      </c>
      <c r="C14" s="53" t="s">
        <v>30</v>
      </c>
      <c r="D14" s="53" t="s">
        <v>30</v>
      </c>
      <c r="E14" s="53" t="s">
        <v>382</v>
      </c>
      <c r="F14" s="2" t="s">
        <v>417</v>
      </c>
      <c r="G14" s="28" t="s">
        <v>197</v>
      </c>
      <c r="H14" s="53"/>
    </row>
    <row r="15" spans="1:8" ht="16" customHeight="1" x14ac:dyDescent="0.25">
      <c r="A15" s="48">
        <v>11</v>
      </c>
      <c r="B15" s="8" t="str">
        <f>HYPERLINK("https://revolutionizingad.com/revolutionizing-atopic-dermatitis","2019 - 1st Annual Revolutionizing Atopic Dermatitis (RAD) Conference")</f>
        <v>2019 - 1st Annual Revolutionizing Atopic Dermatitis (RAD) Conference</v>
      </c>
      <c r="C15" s="53" t="s">
        <v>30</v>
      </c>
      <c r="D15" s="53" t="s">
        <v>30</v>
      </c>
      <c r="E15" s="53" t="s">
        <v>382</v>
      </c>
      <c r="F15" s="2" t="s">
        <v>418</v>
      </c>
      <c r="G15" s="28" t="s">
        <v>197</v>
      </c>
      <c r="H15" s="53"/>
    </row>
    <row r="16" spans="1:8" ht="16" customHeight="1" x14ac:dyDescent="0.25">
      <c r="A16" s="48">
        <v>12</v>
      </c>
      <c r="B16" s="8" t="str">
        <f>HYPERLINK("https://www.isds2023.org/program/","2023 - 5th Inflammatory Skin Disease Summit")</f>
        <v>2023 - 5th Inflammatory Skin Disease Summit</v>
      </c>
      <c r="C16" s="53" t="s">
        <v>30</v>
      </c>
      <c r="D16" s="53" t="s">
        <v>30</v>
      </c>
      <c r="E16" s="53" t="s">
        <v>373</v>
      </c>
      <c r="F16" s="2" t="s">
        <v>399</v>
      </c>
      <c r="G16" s="28" t="s">
        <v>904</v>
      </c>
      <c r="H16" s="53"/>
    </row>
    <row r="17" spans="1:8" ht="16" customHeight="1" x14ac:dyDescent="0.25">
      <c r="A17" s="48">
        <v>13</v>
      </c>
      <c r="B17" s="8" t="str">
        <f>HYPERLINK("https://www.isds2023.org/wp-content/uploads/2022/05/ISDS-2020-21_Final-Programme_55x85-Zoll_RZ04_WEB.pdf","2021 - 4th Inflammatory Skin Disease Summit")</f>
        <v>2021 - 4th Inflammatory Skin Disease Summit</v>
      </c>
      <c r="C17" s="53" t="s">
        <v>30</v>
      </c>
      <c r="D17" s="53" t="s">
        <v>30</v>
      </c>
      <c r="E17" s="53" t="s">
        <v>374</v>
      </c>
      <c r="F17" s="2" t="s">
        <v>400</v>
      </c>
      <c r="G17" s="28" t="s">
        <v>904</v>
      </c>
      <c r="H17" s="53"/>
    </row>
    <row r="18" spans="1:8" ht="16" customHeight="1" x14ac:dyDescent="0.25">
      <c r="A18" s="48">
        <v>14</v>
      </c>
      <c r="B18" s="8" t="str">
        <f>HYPERLINK("https://globalskin.org/conference/conference-23","2023 - GlobalSkin Conference")</f>
        <v>2023 - GlobalSkin Conference</v>
      </c>
      <c r="C18" s="53" t="s">
        <v>30</v>
      </c>
      <c r="D18" s="53" t="s">
        <v>30</v>
      </c>
      <c r="E18" s="53" t="s">
        <v>380</v>
      </c>
      <c r="F18" s="2" t="s">
        <v>411</v>
      </c>
      <c r="G18" s="28" t="s">
        <v>904</v>
      </c>
      <c r="H18" s="53"/>
    </row>
    <row r="19" spans="1:8" ht="16" customHeight="1" x14ac:dyDescent="0.25">
      <c r="A19" s="48">
        <v>15</v>
      </c>
      <c r="B19" s="8" t="str">
        <f>HYPERLINK("https://globalskin.org/conference/conference-21","2021 - GlobalSkin Virtual Conference Thrive")</f>
        <v>2021 - GlobalSkin Virtual Conference Thrive</v>
      </c>
      <c r="C19" s="53" t="s">
        <v>30</v>
      </c>
      <c r="D19" s="53" t="s">
        <v>30</v>
      </c>
      <c r="E19" s="53" t="s">
        <v>380</v>
      </c>
      <c r="F19" s="2" t="s">
        <v>412</v>
      </c>
      <c r="G19" s="28" t="s">
        <v>904</v>
      </c>
      <c r="H19" s="53"/>
    </row>
    <row r="20" spans="1:8" ht="16" customHeight="1" x14ac:dyDescent="0.25">
      <c r="A20" s="48">
        <v>16</v>
      </c>
      <c r="B20" s="8" t="str">
        <f>HYPERLINK("https://globalskin.org/component/content/article/84-gs-2019-content/globalskin-2019-conference/313-about?Itemid=1","2019 - GlobalSkin Conference")</f>
        <v>2019 - GlobalSkin Conference</v>
      </c>
      <c r="C20" s="53" t="s">
        <v>30</v>
      </c>
      <c r="D20" s="53" t="s">
        <v>30</v>
      </c>
      <c r="E20" s="53" t="s">
        <v>380</v>
      </c>
      <c r="F20" s="2" t="s">
        <v>413</v>
      </c>
      <c r="G20" s="28" t="s">
        <v>904</v>
      </c>
      <c r="H20" s="53"/>
    </row>
    <row r="21" spans="1:8" ht="16" customHeight="1" x14ac:dyDescent="0.25">
      <c r="A21" s="48">
        <v>17</v>
      </c>
      <c r="B21" s="8" t="str">
        <f>HYPERLINK("https://intoskin.nl/95-2/","2022 - 8th International Dermato Epidemiology Association (IDEA) Meeting")</f>
        <v>2022 - 8th International Dermato Epidemiology Association (IDEA) Meeting</v>
      </c>
      <c r="C21" s="53" t="s">
        <v>30</v>
      </c>
      <c r="D21" s="53" t="s">
        <v>30</v>
      </c>
      <c r="E21" s="53" t="s">
        <v>381</v>
      </c>
      <c r="F21" s="2" t="s">
        <v>414</v>
      </c>
      <c r="G21" s="28" t="s">
        <v>904</v>
      </c>
      <c r="H21" s="53"/>
    </row>
    <row r="22" spans="1:8" ht="16" customHeight="1" x14ac:dyDescent="0.25">
      <c r="A22" s="48">
        <v>18</v>
      </c>
      <c r="B22" s="8" t="str">
        <f>HYPERLINK("https://www.worldskinsummit.com/_files/ugd/9ccfce_ba32edfc400e435e812fb0d76a5e20d5.pdf","2022 - 3rd International League of Dermatological Societies (ILDS) World Skin Summit")</f>
        <v>2022 - 3rd International League of Dermatological Societies (ILDS) World Skin Summit</v>
      </c>
      <c r="C22" s="53" t="s">
        <v>30</v>
      </c>
      <c r="D22" s="53" t="s">
        <v>30</v>
      </c>
      <c r="E22" s="53" t="s">
        <v>377</v>
      </c>
      <c r="F22" s="2" t="s">
        <v>408</v>
      </c>
      <c r="G22" s="28" t="s">
        <v>904</v>
      </c>
      <c r="H22" s="53"/>
    </row>
    <row r="23" spans="1:8" ht="16" customHeight="1" x14ac:dyDescent="0.25">
      <c r="A23" s="48">
        <v>19</v>
      </c>
      <c r="B23" s="8" t="str">
        <f>HYPERLINK("https://isid2023.org/wp-content/uploads/2023/05/ISID_2023_Program-Book_Final_6-web_low.pdf","2023 - 1st International Societies for Investigative Dermatology Meeting")</f>
        <v>2023 - 1st International Societies for Investigative Dermatology Meeting</v>
      </c>
      <c r="C23" s="53" t="s">
        <v>30</v>
      </c>
      <c r="D23" s="53" t="s">
        <v>30</v>
      </c>
      <c r="E23" s="53" t="s">
        <v>833</v>
      </c>
      <c r="F23" s="2" t="s">
        <v>834</v>
      </c>
      <c r="G23" s="28" t="s">
        <v>904</v>
      </c>
      <c r="H23" s="53"/>
    </row>
    <row r="24" spans="1:8" ht="16" customHeight="1" x14ac:dyDescent="0.25">
      <c r="A24" s="48">
        <v>20</v>
      </c>
      <c r="B24" s="8" t="str">
        <f>HYPERLINK("https://isad.org/events/14th-georg-rajka-symposium-isad-2024-doha?date=202402061229#doha","2024 - 14th Georg Rajka International Symposium on Atopic Dermatitis")</f>
        <v>2024 - 14th Georg Rajka International Symposium on Atopic Dermatitis</v>
      </c>
      <c r="C24" s="53" t="s">
        <v>30</v>
      </c>
      <c r="D24" s="53" t="s">
        <v>30</v>
      </c>
      <c r="E24" s="53" t="s">
        <v>379</v>
      </c>
      <c r="F24" s="2" t="s">
        <v>811</v>
      </c>
      <c r="G24" s="28" t="s">
        <v>197</v>
      </c>
      <c r="H24" s="53"/>
    </row>
    <row r="25" spans="1:8" ht="16" customHeight="1" x14ac:dyDescent="0.25">
      <c r="A25" s="48">
        <v>21</v>
      </c>
      <c r="B25" s="8" t="str">
        <f>HYPERLINK("https://isad.org/events/13th-georg-rajka-symposium-gdansk-2023/programme","2023 - 13th Georg Rajka International Symposium on Atopic Dermatitis")</f>
        <v>2023 - 13th Georg Rajka International Symposium on Atopic Dermatitis</v>
      </c>
      <c r="C25" s="53" t="s">
        <v>30</v>
      </c>
      <c r="D25" s="53" t="s">
        <v>30</v>
      </c>
      <c r="E25" s="53" t="s">
        <v>379</v>
      </c>
      <c r="F25" s="2" t="s">
        <v>409</v>
      </c>
      <c r="G25" s="28" t="s">
        <v>197</v>
      </c>
      <c r="H25" s="53"/>
    </row>
    <row r="26" spans="1:8" ht="16" customHeight="1" x14ac:dyDescent="0.25">
      <c r="A26" s="48">
        <v>22</v>
      </c>
      <c r="B26" s="8" t="str">
        <f>HYPERLINK("https://isad.org/events/12th-georg-rajka-symposium-isad-montreal-2022/programme","2022 - 12th Georg Rajka International Symposium on Atopic Dermatitis")</f>
        <v>2022 - 12th Georg Rajka International Symposium on Atopic Dermatitis</v>
      </c>
      <c r="C26" s="53" t="s">
        <v>30</v>
      </c>
      <c r="D26" s="53" t="s">
        <v>30</v>
      </c>
      <c r="E26" s="53" t="s">
        <v>379</v>
      </c>
      <c r="F26" s="2" t="s">
        <v>628</v>
      </c>
      <c r="G26" s="28" t="s">
        <v>197</v>
      </c>
      <c r="H26" s="53"/>
    </row>
    <row r="27" spans="1:8" ht="16" customHeight="1" x14ac:dyDescent="0.25">
      <c r="A27" s="48">
        <v>23</v>
      </c>
      <c r="B27" s="8" t="str">
        <f>HYPERLINK("https://isad.org/events/11th-georg-rajka-symposium-isad-seoul-2021","2021 - 11th Georg Rajka International Symposium on Atopic Dermatitis")</f>
        <v>2021 - 11th Georg Rajka International Symposium on Atopic Dermatitis</v>
      </c>
      <c r="C27" s="53" t="s">
        <v>30</v>
      </c>
      <c r="D27" s="53" t="s">
        <v>30</v>
      </c>
      <c r="E27" s="53" t="s">
        <v>379</v>
      </c>
      <c r="F27" s="2" t="s">
        <v>812</v>
      </c>
      <c r="G27" s="28" t="s">
        <v>197</v>
      </c>
      <c r="H27" s="53"/>
    </row>
    <row r="28" spans="1:8" ht="16" customHeight="1" x14ac:dyDescent="0.25">
      <c r="A28" s="48">
        <v>24</v>
      </c>
      <c r="B28" s="8" t="str">
        <f>HYPERLINK("https://isad.org/events/isad-2020/programme","2020 - 1st Live Digital International Society of Atopic Dermatitis (ISAD) Meeting")</f>
        <v>2020 - 1st Live Digital International Society of Atopic Dermatitis (ISAD) Meeting</v>
      </c>
      <c r="C28" s="53" t="s">
        <v>30</v>
      </c>
      <c r="D28" s="53" t="s">
        <v>30</v>
      </c>
      <c r="E28" s="53" t="s">
        <v>379</v>
      </c>
      <c r="F28" s="2" t="s">
        <v>410</v>
      </c>
      <c r="G28" s="28" t="s">
        <v>197</v>
      </c>
      <c r="H28" s="53"/>
    </row>
    <row r="29" spans="1:8" ht="16" customHeight="1" x14ac:dyDescent="0.25">
      <c r="A29" s="48">
        <v>25</v>
      </c>
      <c r="B29" s="8" t="str">
        <f>HYPERLINK("https://www.icd2025rome.org/","2025 - 14th International Congress of Dermatology (ICD)")</f>
        <v>2025 - 14th International Congress of Dermatology (ICD)</v>
      </c>
      <c r="C29" s="53" t="s">
        <v>30</v>
      </c>
      <c r="D29" s="53" t="s">
        <v>30</v>
      </c>
      <c r="E29" s="53" t="s">
        <v>378</v>
      </c>
      <c r="F29" s="2" t="s">
        <v>813</v>
      </c>
      <c r="G29" s="28" t="s">
        <v>904</v>
      </c>
      <c r="H29" s="53"/>
    </row>
    <row r="30" spans="1:8" ht="16" customHeight="1" x14ac:dyDescent="0.25">
      <c r="A30" s="48">
        <v>26</v>
      </c>
      <c r="B30" s="8" t="str">
        <f>HYPERLINK("https://www.intsocderm.org/files/ISD_Conn_Fall_2021.pdf","2021 - 13th International Congress of Dermatology (ICD)")</f>
        <v>2021 - 13th International Congress of Dermatology (ICD)</v>
      </c>
      <c r="C30" s="53" t="s">
        <v>30</v>
      </c>
      <c r="D30" s="53" t="s">
        <v>30</v>
      </c>
      <c r="E30" s="53" t="s">
        <v>378</v>
      </c>
      <c r="F30" s="2" t="s">
        <v>814</v>
      </c>
      <c r="G30" s="28" t="s">
        <v>904</v>
      </c>
      <c r="H30" s="53"/>
    </row>
    <row r="31" spans="1:8" ht="16" customHeight="1" x14ac:dyDescent="0.25">
      <c r="A31" s="48">
        <v>27</v>
      </c>
      <c r="B31" s="8" t="str">
        <f>HYPERLINK("https://wcpd2021.com/wp-content/uploads/2021/09/WCPD2021-FINAL-PROGRAMMEv3.pdf","2021 - 14th World Congress of Paediatric Dermatology")</f>
        <v>2021 - 14th World Congress of Paediatric Dermatology</v>
      </c>
      <c r="C31" s="53" t="s">
        <v>30</v>
      </c>
      <c r="D31" s="53" t="s">
        <v>30</v>
      </c>
      <c r="E31" s="53" t="s">
        <v>957</v>
      </c>
      <c r="F31" s="2" t="s">
        <v>958</v>
      </c>
      <c r="G31" s="28" t="s">
        <v>911</v>
      </c>
      <c r="H31" s="53"/>
    </row>
    <row r="32" spans="1:8" ht="16" customHeight="1" x14ac:dyDescent="0.25">
      <c r="A32" s="48">
        <v>28</v>
      </c>
      <c r="B32" s="8" t="str">
        <f>HYPERLINK("https://www.wcd2019milan-dl.org/news-from-wcd2019/wcd-final-programme-WEB.pdf","2019 - 24th World Congress of Dermatology")</f>
        <v>2019 - 24th World Congress of Dermatology</v>
      </c>
      <c r="C32" s="53" t="s">
        <v>30</v>
      </c>
      <c r="D32" s="53" t="s">
        <v>30</v>
      </c>
      <c r="E32" s="53" t="s">
        <v>372</v>
      </c>
      <c r="F32" s="2" t="s">
        <v>398</v>
      </c>
      <c r="G32" s="28" t="s">
        <v>904</v>
      </c>
      <c r="H32" s="53"/>
    </row>
    <row r="33" spans="1:8" ht="16" customHeight="1" x14ac:dyDescent="0.25">
      <c r="A33" s="48">
        <v>29</v>
      </c>
      <c r="B33" s="8" t="str">
        <f>HYPERLINK("https://www.meetingsint.com/conferences/medicaldermatology/2021/scientific-program","2021 - International Conference on Clinical and Medical Dermatology")</f>
        <v>2021 - International Conference on Clinical and Medical Dermatology</v>
      </c>
      <c r="C33" s="53" t="s">
        <v>30</v>
      </c>
      <c r="D33" s="53" t="s">
        <v>30</v>
      </c>
      <c r="E33" s="53" t="s">
        <v>383</v>
      </c>
      <c r="F33" s="2" t="s">
        <v>419</v>
      </c>
      <c r="G33" s="28" t="s">
        <v>904</v>
      </c>
      <c r="H33" s="53"/>
    </row>
    <row r="34" spans="1:8" ht="16" customHeight="1" x14ac:dyDescent="0.25">
      <c r="A34" s="48">
        <v>30</v>
      </c>
      <c r="B34" s="8" t="str">
        <f>HYPERLINK("https://www.wcd2027guadalajara.org/","2027 - 26th World Congress of Dermatology")</f>
        <v>2027 - 26th World Congress of Dermatology</v>
      </c>
      <c r="C34" s="53" t="s">
        <v>30</v>
      </c>
      <c r="D34" s="53" t="s">
        <v>30</v>
      </c>
      <c r="E34" s="53" t="s">
        <v>809</v>
      </c>
      <c r="F34" s="2" t="s">
        <v>810</v>
      </c>
      <c r="G34" s="28" t="s">
        <v>904</v>
      </c>
      <c r="H34" s="53"/>
    </row>
    <row r="35" spans="1:8" ht="16" customHeight="1" x14ac:dyDescent="0.25">
      <c r="A35" s="48">
        <v>31</v>
      </c>
      <c r="B35" s="8" t="str">
        <f>HYPERLINK("https://live.eventtia.com/en/4th-international-meeting-of-eczema-foundation/Program","2022 - 4th International Meeting of Eczema Foundation")</f>
        <v>2022 - 4th International Meeting of Eczema Foundation</v>
      </c>
      <c r="C35" s="53" t="s">
        <v>30</v>
      </c>
      <c r="D35" s="53" t="s">
        <v>30</v>
      </c>
      <c r="E35" s="53" t="s">
        <v>395</v>
      </c>
      <c r="F35" s="2" t="s">
        <v>470</v>
      </c>
      <c r="G35" s="28" t="s">
        <v>197</v>
      </c>
      <c r="H35" s="53"/>
    </row>
    <row r="36" spans="1:8" ht="16" customHeight="1" x14ac:dyDescent="0.25">
      <c r="A36" s="48">
        <v>32</v>
      </c>
      <c r="B36" s="8" t="str">
        <f>HYPERLINK("https://dermatology.cmesociety.com/organizing-committee","2024 - 4th International Conference on Dermatology Research")</f>
        <v>2024 - 4th International Conference on Dermatology Research</v>
      </c>
      <c r="C36" s="53" t="s">
        <v>30</v>
      </c>
      <c r="D36" s="53" t="s">
        <v>30</v>
      </c>
      <c r="E36" s="53" t="s">
        <v>384</v>
      </c>
      <c r="F36" s="2" t="s">
        <v>420</v>
      </c>
      <c r="G36" s="28" t="s">
        <v>904</v>
      </c>
      <c r="H36" s="53"/>
    </row>
    <row r="37" spans="1:8" ht="16" customHeight="1" x14ac:dyDescent="0.25">
      <c r="A37" s="48">
        <v>33</v>
      </c>
      <c r="B37" s="8" t="str">
        <f>HYPERLINK("https://kindcongress.com/event/3rd-international-conference-on-dermatology-research-dermatology-2023/","2023 - 3rd World Congress on Dermatology Research")</f>
        <v>2023 - 3rd World Congress on Dermatology Research</v>
      </c>
      <c r="C37" s="53" t="s">
        <v>30</v>
      </c>
      <c r="D37" s="53" t="s">
        <v>30</v>
      </c>
      <c r="E37" s="53" t="s">
        <v>384</v>
      </c>
      <c r="F37" s="2" t="s">
        <v>815</v>
      </c>
      <c r="G37" s="28" t="s">
        <v>904</v>
      </c>
      <c r="H37" s="53"/>
    </row>
    <row r="38" spans="1:8" ht="16" customHeight="1" x14ac:dyDescent="0.25">
      <c r="A38" s="48">
        <v>34</v>
      </c>
      <c r="B38" s="8" t="str">
        <f>HYPERLINK("https://dermatology.cmesociety.com/2022/organizing-committee","2022 - 2nd World Congress on Dermatology Research")</f>
        <v>2022 - 2nd World Congress on Dermatology Research</v>
      </c>
      <c r="C38" s="53" t="s">
        <v>30</v>
      </c>
      <c r="D38" s="53" t="s">
        <v>30</v>
      </c>
      <c r="E38" s="53" t="s">
        <v>384</v>
      </c>
      <c r="F38" s="2" t="s">
        <v>421</v>
      </c>
      <c r="G38" s="28" t="s">
        <v>904</v>
      </c>
      <c r="H38" s="53"/>
    </row>
    <row r="39" spans="1:8" ht="16" customHeight="1" x14ac:dyDescent="0.25">
      <c r="A39" s="48">
        <v>35</v>
      </c>
      <c r="B39" s="8" t="str">
        <f>HYPERLINK("https://eamciprodendpoint00.azureedge.net/eamciwesteuprod/production-mcigroup-public/a447586e6deb47869e2d83429fd0810d","2022 - 7th Skin Inflammation &amp; Psoriasis International Network (SPIN) Congress")</f>
        <v>2022 - 7th Skin Inflammation &amp; Psoriasis International Network (SPIN) Congress</v>
      </c>
      <c r="C39" s="53" t="s">
        <v>30</v>
      </c>
      <c r="D39" s="53" t="s">
        <v>30</v>
      </c>
      <c r="E39" s="53" t="s">
        <v>375</v>
      </c>
      <c r="F39" s="2" t="s">
        <v>401</v>
      </c>
      <c r="G39" s="28" t="s">
        <v>906</v>
      </c>
      <c r="H39" s="53"/>
    </row>
    <row r="40" spans="1:8" ht="16" customHeight="1" x14ac:dyDescent="0.25">
      <c r="A40" s="48">
        <v>36</v>
      </c>
      <c r="B40" s="8" t="str">
        <f>HYPERLINK("https://www.spindermatology.org/events/spin-2019","2019 - 6th Skin Inflammation &amp; Psoriasis International Network (SPIN) Congress")</f>
        <v>2019 - 6th Skin Inflammation &amp; Psoriasis International Network (SPIN) Congress</v>
      </c>
      <c r="C40" s="53" t="s">
        <v>30</v>
      </c>
      <c r="D40" s="53" t="s">
        <v>30</v>
      </c>
      <c r="E40" s="53" t="s">
        <v>375</v>
      </c>
      <c r="F40" s="2" t="s">
        <v>402</v>
      </c>
      <c r="G40" s="28" t="s">
        <v>906</v>
      </c>
      <c r="H40" s="53"/>
    </row>
    <row r="41" spans="1:8" ht="16" customHeight="1" x14ac:dyDescent="0.25">
      <c r="A41" s="48">
        <v>37</v>
      </c>
      <c r="B41" s="8" t="str">
        <f>HYPERLINK("https://dermatology.conferenceseries.com/europe/scientific-program.php","2024 - 24th European Dermatology Congress")</f>
        <v>2024 - 24th European Dermatology Congress</v>
      </c>
      <c r="C41" s="53" t="s">
        <v>36</v>
      </c>
      <c r="D41" s="53" t="s">
        <v>37</v>
      </c>
      <c r="E41" s="53" t="s">
        <v>135</v>
      </c>
      <c r="F41" s="2" t="s">
        <v>816</v>
      </c>
      <c r="G41" s="28" t="s">
        <v>904</v>
      </c>
      <c r="H41" s="53"/>
    </row>
    <row r="42" spans="1:8" ht="16" customHeight="1" x14ac:dyDescent="0.25">
      <c r="A42" s="48">
        <v>38</v>
      </c>
      <c r="B42" s="8" t="str">
        <f>HYPERLINK("https://www.linkedin.com/pulse/23rd-european-dermatology-congress-july-27-28-2023-paris-wilson","2023 - 23rd European Dermatology Congress")</f>
        <v>2023 - 23rd European Dermatology Congress</v>
      </c>
      <c r="C42" s="53" t="s">
        <v>36</v>
      </c>
      <c r="D42" s="53" t="s">
        <v>37</v>
      </c>
      <c r="E42" s="53" t="s">
        <v>135</v>
      </c>
      <c r="F42" s="2" t="s">
        <v>817</v>
      </c>
      <c r="G42" s="28" t="s">
        <v>904</v>
      </c>
      <c r="H42" s="53"/>
    </row>
    <row r="43" spans="1:8" ht="16" customHeight="1" x14ac:dyDescent="0.25">
      <c r="A43" s="48">
        <v>39</v>
      </c>
      <c r="B43" s="8" t="str">
        <f>HYPERLINK("https://d2cax41o7ahm5l.cloudfront.net/cs/pdfs/euro-dermatology-2022-tentative-program2022-06-09-06:38:11-112.pdf","2022 - 22nd European Dermatology Congress")</f>
        <v>2022 - 22nd European Dermatology Congress</v>
      </c>
      <c r="C43" s="53" t="s">
        <v>36</v>
      </c>
      <c r="D43" s="53" t="s">
        <v>37</v>
      </c>
      <c r="E43" s="53" t="s">
        <v>135</v>
      </c>
      <c r="F43" s="2" t="s">
        <v>463</v>
      </c>
      <c r="G43" s="28" t="s">
        <v>904</v>
      </c>
      <c r="H43" s="53"/>
    </row>
    <row r="44" spans="1:8" ht="16" customHeight="1" x14ac:dyDescent="0.25">
      <c r="A44" s="48">
        <v>40</v>
      </c>
      <c r="B44" s="8" t="str">
        <f>HYPERLINK("https://dermatology.conferenceseries.com/europe/2021/scientific-program.php?day=1&amp;sid=7376&amp;date=2021-07-13","2021 - 21st European Dermatology Congress")</f>
        <v>2021 - 21st European Dermatology Congress</v>
      </c>
      <c r="C44" s="53" t="s">
        <v>36</v>
      </c>
      <c r="D44" s="53" t="s">
        <v>37</v>
      </c>
      <c r="E44" s="53" t="s">
        <v>135</v>
      </c>
      <c r="F44" s="2" t="s">
        <v>464</v>
      </c>
      <c r="G44" s="28" t="s">
        <v>904</v>
      </c>
      <c r="H44" s="53"/>
    </row>
    <row r="45" spans="1:8" ht="16" customHeight="1" x14ac:dyDescent="0.25">
      <c r="A45" s="48">
        <v>41</v>
      </c>
      <c r="B45" s="8" t="str">
        <f>HYPERLINK("https://d2cax41o7ahm5l.cloudfront.net/cs/pdfs/euro-dermatology-2020-51438-tentative-program53438.pdf","2020 - 20th European Dermatology Congress")</f>
        <v>2020 - 20th European Dermatology Congress</v>
      </c>
      <c r="C45" s="53" t="s">
        <v>36</v>
      </c>
      <c r="D45" s="53" t="s">
        <v>37</v>
      </c>
      <c r="E45" s="53" t="s">
        <v>135</v>
      </c>
      <c r="F45" s="2" t="s">
        <v>465</v>
      </c>
      <c r="G45" s="28" t="s">
        <v>904</v>
      </c>
      <c r="H45" s="53"/>
    </row>
    <row r="46" spans="1:8" ht="16" customHeight="1" x14ac:dyDescent="0.25">
      <c r="A46" s="48">
        <v>42</v>
      </c>
      <c r="B46" s="8" t="str">
        <f>HYPERLINK("https://d2cax41o7ahm5l.cloudfront.net/cs/pdfs/euro-dermatology-2019-52302-tentative-program32253.pdf","2019 - 19th European Dermatology Congress")</f>
        <v>2019 - 19th European Dermatology Congress</v>
      </c>
      <c r="C46" s="53" t="s">
        <v>36</v>
      </c>
      <c r="D46" s="53" t="s">
        <v>37</v>
      </c>
      <c r="E46" s="53" t="s">
        <v>135</v>
      </c>
      <c r="F46" s="2" t="s">
        <v>466</v>
      </c>
      <c r="G46" s="28" t="s">
        <v>904</v>
      </c>
      <c r="H46" s="53"/>
    </row>
    <row r="47" spans="1:8" ht="16" customHeight="1" x14ac:dyDescent="0.25">
      <c r="A47" s="48">
        <v>43</v>
      </c>
      <c r="B47" s="8" t="str">
        <f>HYPERLINK("https://eadv.org/congress/","2024 - 33rd European Academy of Dermatology and Venereology (EADV) Congress")</f>
        <v>2024 - 33rd European Academy of Dermatology and Venereology (EADV) Congress</v>
      </c>
      <c r="C47" s="53" t="s">
        <v>36</v>
      </c>
      <c r="D47" s="53" t="s">
        <v>37</v>
      </c>
      <c r="E47" s="53" t="s">
        <v>393</v>
      </c>
      <c r="F47" s="2" t="s">
        <v>818</v>
      </c>
      <c r="G47" s="28" t="s">
        <v>904</v>
      </c>
      <c r="H47" s="53"/>
    </row>
    <row r="48" spans="1:8" ht="16" customHeight="1" x14ac:dyDescent="0.25">
      <c r="A48" s="48">
        <v>44</v>
      </c>
      <c r="B48" s="8" t="str">
        <f>HYPERLINK("https://eadv.org/symposium/the-symposium/","2024 - 19th European Academy of Dermatology and Venereology (EADV) Spring Symposium")</f>
        <v>2024 - 19th European Academy of Dermatology and Venereology (EADV) Spring Symposium</v>
      </c>
      <c r="C48" s="53" t="s">
        <v>36</v>
      </c>
      <c r="D48" s="53" t="s">
        <v>37</v>
      </c>
      <c r="E48" s="53" t="s">
        <v>393</v>
      </c>
      <c r="F48" s="2" t="s">
        <v>819</v>
      </c>
      <c r="G48" s="28" t="s">
        <v>904</v>
      </c>
      <c r="H48" s="53"/>
    </row>
    <row r="49" spans="1:8" ht="16" customHeight="1" x14ac:dyDescent="0.25">
      <c r="A49" s="48">
        <v>45</v>
      </c>
      <c r="B49" s="8" t="str">
        <f>HYPERLINK("https://eadvcongress2023.org/scientific/#scientificprogramme","2023 - 32nd European Academy of Dermatology and Venereology (EADV) Congress")</f>
        <v>2023 - 32nd European Academy of Dermatology and Venereology (EADV) Congress</v>
      </c>
      <c r="C49" s="53" t="s">
        <v>36</v>
      </c>
      <c r="D49" s="53" t="s">
        <v>37</v>
      </c>
      <c r="E49" s="53" t="s">
        <v>393</v>
      </c>
      <c r="F49" s="2" t="s">
        <v>455</v>
      </c>
      <c r="G49" s="28" t="s">
        <v>904</v>
      </c>
      <c r="H49" s="53"/>
    </row>
    <row r="50" spans="1:8" ht="16" customHeight="1" x14ac:dyDescent="0.25">
      <c r="A50" s="48">
        <v>46</v>
      </c>
      <c r="B50" s="8" t="str">
        <f>HYPERLINK("https://eadvapps.m-anage.com/eadvsymposium2023/en-GB/pag","2023 - 18th European Academy of Dermatology and Venereology (EADV) Spring Symposium")</f>
        <v>2023 - 18th European Academy of Dermatology and Venereology (EADV) Spring Symposium</v>
      </c>
      <c r="C50" s="53" t="s">
        <v>36</v>
      </c>
      <c r="D50" s="53" t="s">
        <v>37</v>
      </c>
      <c r="E50" s="53" t="s">
        <v>393</v>
      </c>
      <c r="F50" s="2" t="s">
        <v>460</v>
      </c>
      <c r="G50" s="28" t="s">
        <v>904</v>
      </c>
      <c r="H50" s="53"/>
    </row>
    <row r="51" spans="1:8" ht="16" customHeight="1" x14ac:dyDescent="0.25">
      <c r="A51" s="48">
        <v>47</v>
      </c>
      <c r="B51" s="8" t="str">
        <f>HYPERLINK("https://eadvcongress2022.org/wp-content/uploads/2022/09/FINAL-PROGRAMME_31ST_CONGRESS_05092022_B_.pdf","2022 - 31st European Academy of Dermatology and Venereology (EADV) Congress")</f>
        <v>2022 - 31st European Academy of Dermatology and Venereology (EADV) Congress</v>
      </c>
      <c r="C51" s="53" t="s">
        <v>36</v>
      </c>
      <c r="D51" s="53" t="s">
        <v>37</v>
      </c>
      <c r="E51" s="53" t="s">
        <v>393</v>
      </c>
      <c r="F51" s="2" t="s">
        <v>456</v>
      </c>
      <c r="G51" s="28" t="s">
        <v>904</v>
      </c>
      <c r="H51" s="53"/>
    </row>
    <row r="52" spans="1:8" ht="16" customHeight="1" x14ac:dyDescent="0.25">
      <c r="A52" s="48">
        <v>48</v>
      </c>
      <c r="B52" s="8" t="str">
        <f>HYPERLINK("https://eadvsymposium2022.org/wp-content/uploads/2022/05/Scientific_Programme_Ljubljana.pdf","2022 - 17th European Academy of Dermatology and Venereology (EADV) Spring Symposium")</f>
        <v>2022 - 17th European Academy of Dermatology and Venereology (EADV) Spring Symposium</v>
      </c>
      <c r="C52" s="53" t="s">
        <v>36</v>
      </c>
      <c r="D52" s="53" t="s">
        <v>37</v>
      </c>
      <c r="E52" s="53" t="s">
        <v>393</v>
      </c>
      <c r="F52" s="2" t="s">
        <v>461</v>
      </c>
      <c r="G52" s="28" t="s">
        <v>904</v>
      </c>
      <c r="H52" s="53"/>
    </row>
    <row r="53" spans="1:8" ht="16" customHeight="1" x14ac:dyDescent="0.25">
      <c r="A53" s="48">
        <v>49</v>
      </c>
      <c r="B53" s="2" t="str">
        <f>HYPERLINK("https://www.eadvcongress2021.org/index.php/home/scientific/scientific-programme/","2021 - 30th European Academy of Dermatology and Venereology (EADV) Congress")</f>
        <v>2021 - 30th European Academy of Dermatology and Venereology (EADV) Congress</v>
      </c>
      <c r="C53" s="53" t="s">
        <v>36</v>
      </c>
      <c r="D53" s="53" t="s">
        <v>37</v>
      </c>
      <c r="E53" s="53" t="s">
        <v>393</v>
      </c>
      <c r="F53" s="2" t="s">
        <v>457</v>
      </c>
      <c r="G53" s="28" t="s">
        <v>904</v>
      </c>
      <c r="H53" s="53"/>
    </row>
    <row r="54" spans="1:8" ht="16" customHeight="1" x14ac:dyDescent="0.25">
      <c r="A54" s="48">
        <v>50</v>
      </c>
      <c r="B54" s="8" t="str">
        <f>HYPERLINK("https://www.eadvsymposium2021.org/wp-content/uploads/2021/04/EADV_Symposium2021.pdf","2021 - 16th European Academy of Dermatology and Venereology (EADV) Spring Symposium")</f>
        <v>2021 - 16th European Academy of Dermatology and Venereology (EADV) Spring Symposium</v>
      </c>
      <c r="C54" s="53" t="s">
        <v>36</v>
      </c>
      <c r="D54" s="53" t="s">
        <v>37</v>
      </c>
      <c r="E54" s="53" t="s">
        <v>393</v>
      </c>
      <c r="F54" s="2" t="s">
        <v>462</v>
      </c>
      <c r="G54" s="28" t="s">
        <v>904</v>
      </c>
      <c r="H54" s="53"/>
    </row>
    <row r="55" spans="1:8" ht="16" customHeight="1" x14ac:dyDescent="0.25">
      <c r="A55" s="48">
        <v>51</v>
      </c>
      <c r="B55" s="8" t="str">
        <f>HYPERLINK("https://eadvapps.m-anage.com/eadvvirtual2020/en-GB/PublicProgram?pProgramGrade=Scientific","2020 - 29th European Academy of Dermatology and Venereology (EADV) Congress")</f>
        <v>2020 - 29th European Academy of Dermatology and Venereology (EADV) Congress</v>
      </c>
      <c r="C55" s="53" t="s">
        <v>36</v>
      </c>
      <c r="D55" s="53" t="s">
        <v>37</v>
      </c>
      <c r="E55" s="53" t="s">
        <v>393</v>
      </c>
      <c r="F55" s="2" t="s">
        <v>458</v>
      </c>
      <c r="G55" s="28" t="s">
        <v>904</v>
      </c>
      <c r="H55" s="53"/>
    </row>
    <row r="56" spans="1:8" ht="16" customHeight="1" x14ac:dyDescent="0.25">
      <c r="A56" s="48">
        <v>52</v>
      </c>
      <c r="B56" s="8" t="str">
        <f>HYPERLINK("https://docplayer.net/157104930-Final-programme-the-modern-face-of-dermatology-madrid-spain-october-2019-ifema-feria-de-madrid-european-academy-of-dermatology-and-venereology.html","2019 - 28th European Academy of Dermatology and Venereology (EADV) Congress")</f>
        <v>2019 - 28th European Academy of Dermatology and Venereology (EADV) Congress</v>
      </c>
      <c r="C56" s="53" t="s">
        <v>36</v>
      </c>
      <c r="D56" s="53" t="s">
        <v>37</v>
      </c>
      <c r="E56" s="53" t="s">
        <v>393</v>
      </c>
      <c r="F56" s="2" t="s">
        <v>459</v>
      </c>
      <c r="G56" s="28" t="s">
        <v>904</v>
      </c>
      <c r="H56" s="53"/>
    </row>
    <row r="57" spans="1:8" ht="16" customHeight="1" x14ac:dyDescent="0.25">
      <c r="A57" s="48">
        <v>53</v>
      </c>
      <c r="B57" s="8" t="str">
        <f>HYPERLINK("https://www.edf-meeting.com/en/","2024 - 27th Annual Meeting of the European Dermatology Forum (EDF)")</f>
        <v>2024 - 27th Annual Meeting of the European Dermatology Forum (EDF)</v>
      </c>
      <c r="C57" s="53" t="s">
        <v>36</v>
      </c>
      <c r="D57" s="53" t="s">
        <v>37</v>
      </c>
      <c r="E57" s="53" t="s">
        <v>391</v>
      </c>
      <c r="F57" s="2" t="s">
        <v>820</v>
      </c>
      <c r="G57" s="28" t="s">
        <v>904</v>
      </c>
      <c r="H57" s="53"/>
    </row>
    <row r="58" spans="1:8" ht="16" customHeight="1" x14ac:dyDescent="0.25">
      <c r="A58" s="48">
        <v>54</v>
      </c>
      <c r="B58" s="8" t="str">
        <f>HYPERLINK("https://www.edf-meeting.com/uploads/attachments/clfw5aqrj01mcv2jrxxaisccr-programm-edf2023-compressed.pdf","2023 - 26th Annual Meeting of the European Dermatology Forum (EDF)")</f>
        <v>2023 - 26th Annual Meeting of the European Dermatology Forum (EDF)</v>
      </c>
      <c r="C58" s="53" t="s">
        <v>36</v>
      </c>
      <c r="D58" s="53" t="s">
        <v>37</v>
      </c>
      <c r="E58" s="53" t="s">
        <v>391</v>
      </c>
      <c r="F58" s="2" t="s">
        <v>448</v>
      </c>
      <c r="G58" s="28" t="s">
        <v>904</v>
      </c>
      <c r="H58" s="53"/>
    </row>
    <row r="59" spans="1:8" ht="16" customHeight="1" x14ac:dyDescent="0.25">
      <c r="A59" s="48">
        <v>55</v>
      </c>
      <c r="B59" s="8" t="str">
        <f>HYPERLINK("https://www.edf-meeting.com/uploads/attachments/cl2g7fjxg0034dc91n9muqkls-program-flyer-25-edf-annual-meeting-2022-1.pdf","2022 - 25th Annual Virtual Meeting of the European Dermatology Forum (EDF)")</f>
        <v>2022 - 25th Annual Virtual Meeting of the European Dermatology Forum (EDF)</v>
      </c>
      <c r="C59" s="53" t="s">
        <v>36</v>
      </c>
      <c r="D59" s="53" t="s">
        <v>37</v>
      </c>
      <c r="E59" s="53" t="s">
        <v>391</v>
      </c>
      <c r="F59" s="2" t="s">
        <v>449</v>
      </c>
      <c r="G59" s="28" t="s">
        <v>904</v>
      </c>
      <c r="H59" s="53"/>
    </row>
    <row r="60" spans="1:8" ht="16" customHeight="1" x14ac:dyDescent="0.25">
      <c r="A60" s="48">
        <v>56</v>
      </c>
      <c r="B60" s="8" t="str">
        <f>HYPERLINK("https://www.edf-meeting.com/uploads/attachments/cl2g7ga1w0047dc91n5x6txwx-7-gzd-154143-ctlu-23-dermtogy.pdf","2020 - 23rd Annual Meeting of the European Dermatology Forum (EDF)")</f>
        <v>2020 - 23rd Annual Meeting of the European Dermatology Forum (EDF)</v>
      </c>
      <c r="C60" s="53" t="s">
        <v>36</v>
      </c>
      <c r="D60" s="53" t="s">
        <v>37</v>
      </c>
      <c r="E60" s="53" t="s">
        <v>391</v>
      </c>
      <c r="F60" s="2" t="s">
        <v>450</v>
      </c>
      <c r="G60" s="28" t="s">
        <v>904</v>
      </c>
      <c r="H60" s="53"/>
    </row>
    <row r="61" spans="1:8" ht="16" customHeight="1" x14ac:dyDescent="0.25">
      <c r="A61" s="48">
        <v>57</v>
      </c>
      <c r="B61" s="8" t="str">
        <f>HYPERLINK("https://www.edf-meeting.com/uploads/attachments/cl2g8b20z001qf291z852ucuc-gzd-147493-ctlu-22-dermtogy.pdf","2019 - 22nd Annual Meeting of the European Dermatology Forum (EDF)")</f>
        <v>2019 - 22nd Annual Meeting of the European Dermatology Forum (EDF)</v>
      </c>
      <c r="C61" s="53" t="s">
        <v>36</v>
      </c>
      <c r="D61" s="53" t="s">
        <v>37</v>
      </c>
      <c r="E61" s="53" t="s">
        <v>391</v>
      </c>
      <c r="F61" s="2" t="s">
        <v>451</v>
      </c>
      <c r="G61" s="28" t="s">
        <v>904</v>
      </c>
      <c r="H61" s="53"/>
    </row>
    <row r="62" spans="1:8" ht="16" customHeight="1" x14ac:dyDescent="0.25">
      <c r="A62" s="48">
        <v>58</v>
      </c>
      <c r="B62" s="8" t="str">
        <f>HYPERLINK("https://esdrmeeting.org/","2024 - 53rd Annual Virtual European Society for Dermatological Research (ESDR) Meeting")</f>
        <v>2024 - 53rd Annual Virtual European Society for Dermatological Research (ESDR) Meeting</v>
      </c>
      <c r="C62" s="53" t="s">
        <v>36</v>
      </c>
      <c r="D62" s="53" t="s">
        <v>37</v>
      </c>
      <c r="E62" s="53" t="s">
        <v>392</v>
      </c>
      <c r="F62" s="2" t="s">
        <v>821</v>
      </c>
      <c r="G62" s="28" t="s">
        <v>904</v>
      </c>
      <c r="H62" s="53"/>
    </row>
    <row r="63" spans="1:8" ht="16" customHeight="1" x14ac:dyDescent="0.25">
      <c r="A63" s="48">
        <v>59</v>
      </c>
      <c r="B63" s="8" t="str">
        <f>HYPERLINK("https://esdrmeeting.org/wp-content/uploads/2022/09/ESDR-ProgramBook.pdf","2022 - 51st Annual Virtual European Society for Dermatological Research (ESDR) Meeting")</f>
        <v>2022 - 51st Annual Virtual European Society for Dermatological Research (ESDR) Meeting</v>
      </c>
      <c r="C63" s="53" t="s">
        <v>36</v>
      </c>
      <c r="D63" s="53" t="s">
        <v>37</v>
      </c>
      <c r="E63" s="53" t="s">
        <v>392</v>
      </c>
      <c r="F63" s="2" t="s">
        <v>452</v>
      </c>
      <c r="G63" s="28" t="s">
        <v>904</v>
      </c>
      <c r="H63" s="53"/>
    </row>
    <row r="64" spans="1:8" ht="16" customHeight="1" x14ac:dyDescent="0.25">
      <c r="A64" s="48">
        <v>60</v>
      </c>
      <c r="B64" s="8" t="str">
        <f>HYPERLINK("https://esdrmeeting.org/wp-content/uploads/2021/09/esdr2021-programme-book-a4-FinalVersion.pdf","2021 - 50th Annual Virtual European Society for Dermatological Research (ESDR) Meeting")</f>
        <v>2021 - 50th Annual Virtual European Society for Dermatological Research (ESDR) Meeting</v>
      </c>
      <c r="C64" s="53" t="s">
        <v>36</v>
      </c>
      <c r="D64" s="53" t="s">
        <v>37</v>
      </c>
      <c r="E64" s="53" t="s">
        <v>392</v>
      </c>
      <c r="F64" s="2" t="s">
        <v>453</v>
      </c>
      <c r="G64" s="28" t="s">
        <v>904</v>
      </c>
      <c r="H64" s="53"/>
    </row>
    <row r="65" spans="1:8" ht="16" customHeight="1" x14ac:dyDescent="0.25">
      <c r="A65" s="48">
        <v>61</v>
      </c>
      <c r="B65" s="8" t="str">
        <f>HYPERLINK("http://esdrmeeting.org/wp-content/uploads/2019/09/20190912-ESDR-2019-Program-Book-Web.pdf","2019 - 49th Annual European Society for Dermatological Research (ESDR) Meeting")</f>
        <v>2019 - 49th Annual European Society for Dermatological Research (ESDR) Meeting</v>
      </c>
      <c r="C65" s="53" t="s">
        <v>36</v>
      </c>
      <c r="D65" s="53" t="s">
        <v>37</v>
      </c>
      <c r="E65" s="53" t="s">
        <v>392</v>
      </c>
      <c r="F65" s="2" t="s">
        <v>454</v>
      </c>
      <c r="G65" s="28" t="s">
        <v>904</v>
      </c>
      <c r="H65" s="53"/>
    </row>
    <row r="66" spans="1:8" ht="16" customHeight="1" x14ac:dyDescent="0.25">
      <c r="A66" s="48">
        <v>62</v>
      </c>
      <c r="B66" s="8" t="str">
        <f>HYPERLINK("https://www.espd.info/espd2024/congress-programme-2024","2024 - 23rd European Society for Pediatric Dermatology (ESPD) Annual Meeting")</f>
        <v>2024 - 23rd European Society for Pediatric Dermatology (ESPD) Annual Meeting</v>
      </c>
      <c r="C66" s="53" t="s">
        <v>36</v>
      </c>
      <c r="D66" s="53" t="s">
        <v>37</v>
      </c>
      <c r="E66" s="53" t="s">
        <v>959</v>
      </c>
      <c r="F66" s="2" t="s">
        <v>960</v>
      </c>
      <c r="G66" s="28" t="s">
        <v>911</v>
      </c>
      <c r="H66" s="53"/>
    </row>
    <row r="67" spans="1:8" ht="16" customHeight="1" x14ac:dyDescent="0.25">
      <c r="A67" s="48">
        <v>63</v>
      </c>
      <c r="B67" s="8" t="str">
        <f>HYPERLINK("https://www.espd.info/espd2023/programme","2023 - 22nd European Society for Pediatric Dermatology (ESPD) Annual Meeting")</f>
        <v>2023 - 22nd European Society for Pediatric Dermatology (ESPD) Annual Meeting</v>
      </c>
      <c r="C67" s="53" t="s">
        <v>36</v>
      </c>
      <c r="D67" s="53" t="s">
        <v>37</v>
      </c>
      <c r="E67" s="53" t="s">
        <v>959</v>
      </c>
      <c r="F67" s="2" t="s">
        <v>961</v>
      </c>
      <c r="G67" s="28" t="s">
        <v>911</v>
      </c>
      <c r="H67" s="53"/>
    </row>
    <row r="68" spans="1:8" ht="16" customHeight="1" x14ac:dyDescent="0.25">
      <c r="A68" s="48">
        <v>64</v>
      </c>
      <c r="B68" s="8" t="str">
        <f>HYPERLINK("https://www.espd.info/espd2022/espd-2022-programme","2022 - 21st European Society for Pediatric Dermatology (ESPD) Annual Meeting")</f>
        <v>2022 - 21st European Society for Pediatric Dermatology (ESPD) Annual Meeting</v>
      </c>
      <c r="C68" s="53" t="s">
        <v>36</v>
      </c>
      <c r="D68" s="53" t="s">
        <v>37</v>
      </c>
      <c r="E68" s="53" t="s">
        <v>959</v>
      </c>
      <c r="F68" s="2" t="s">
        <v>962</v>
      </c>
      <c r="G68" s="28" t="s">
        <v>911</v>
      </c>
      <c r="H68" s="53"/>
    </row>
    <row r="69" spans="1:8" ht="16" customHeight="1" x14ac:dyDescent="0.25">
      <c r="A69" s="48">
        <v>65</v>
      </c>
      <c r="B69" s="8" t="str">
        <f>HYPERLINK("https://www.espd.info/espd2021/programme2021","2021 - 20th European Society for Pediatric Dermatology (ESPD) Annual Meeting")</f>
        <v>2021 - 20th European Society for Pediatric Dermatology (ESPD) Annual Meeting</v>
      </c>
      <c r="C69" s="53" t="s">
        <v>36</v>
      </c>
      <c r="D69" s="53" t="s">
        <v>37</v>
      </c>
      <c r="E69" s="53" t="s">
        <v>959</v>
      </c>
      <c r="F69" s="2" t="s">
        <v>963</v>
      </c>
      <c r="G69" s="28" t="s">
        <v>911</v>
      </c>
      <c r="H69" s="53"/>
    </row>
    <row r="70" spans="1:8" ht="16" customHeight="1" x14ac:dyDescent="0.25">
      <c r="A70" s="48">
        <v>66</v>
      </c>
      <c r="B70" s="8" t="str">
        <f>HYPERLINK("https://www.espd.info/events/past-meetings/espd2019/programme","2019 - 19th European Society for Pediatric Dermatology (ESPD) Annual Meeting")</f>
        <v>2019 - 19th European Society for Pediatric Dermatology (ESPD) Annual Meeting</v>
      </c>
      <c r="C70" s="53" t="s">
        <v>36</v>
      </c>
      <c r="D70" s="53" t="s">
        <v>37</v>
      </c>
      <c r="E70" s="53" t="s">
        <v>959</v>
      </c>
      <c r="F70" s="2" t="s">
        <v>964</v>
      </c>
      <c r="G70" s="28" t="s">
        <v>911</v>
      </c>
      <c r="H70" s="53"/>
    </row>
    <row r="71" spans="1:8" ht="16" customHeight="1" x14ac:dyDescent="0.25">
      <c r="A71" s="48">
        <v>67</v>
      </c>
      <c r="B71" s="8" t="str">
        <f>HYPERLINK("https://dermatology-drugdevelopment-europe.com/day-one/","2024 - 5th Dermatology Drug Development Europe Summit")</f>
        <v>2024 - 5th Dermatology Drug Development Europe Summit</v>
      </c>
      <c r="C71" s="53" t="s">
        <v>36</v>
      </c>
      <c r="D71" s="53" t="s">
        <v>37</v>
      </c>
      <c r="E71" s="53" t="s">
        <v>394</v>
      </c>
      <c r="F71" s="2" t="s">
        <v>467</v>
      </c>
      <c r="G71" s="28" t="s">
        <v>904</v>
      </c>
      <c r="H71" s="53"/>
    </row>
    <row r="72" spans="1:8" ht="16" customHeight="1" x14ac:dyDescent="0.25">
      <c r="A72" s="48">
        <v>68</v>
      </c>
      <c r="B72" s="8" t="str">
        <f>HYPERLINK("https://uniontherapeutics.com/union-therapeutics-to-present-at-4th-annual-dermatology-drug-development-summit-europe/","2023 - 4th Dermatology Drug Development Europe Summit")</f>
        <v>2023 - 4th Dermatology Drug Development Europe Summit</v>
      </c>
      <c r="C72" s="53" t="s">
        <v>36</v>
      </c>
      <c r="D72" s="53" t="s">
        <v>37</v>
      </c>
      <c r="E72" s="53" t="s">
        <v>394</v>
      </c>
      <c r="F72" s="2" t="s">
        <v>822</v>
      </c>
      <c r="G72" s="28" t="s">
        <v>904</v>
      </c>
      <c r="H72" s="53"/>
    </row>
    <row r="73" spans="1:8" ht="16" customHeight="1" x14ac:dyDescent="0.25">
      <c r="A73" s="48">
        <v>69</v>
      </c>
      <c r="B73" s="8" t="str">
        <f>HYPERLINK("https://conferencealerts.com/show-event?id=241680","2022 - 3rd Dermatology Drug Development Europe Summit")</f>
        <v>2022 - 3rd Dermatology Drug Development Europe Summit</v>
      </c>
      <c r="C73" s="53" t="s">
        <v>36</v>
      </c>
      <c r="D73" s="53" t="s">
        <v>37</v>
      </c>
      <c r="E73" s="53" t="s">
        <v>394</v>
      </c>
      <c r="F73" s="2" t="s">
        <v>468</v>
      </c>
      <c r="G73" s="28" t="s">
        <v>904</v>
      </c>
      <c r="H73" s="53"/>
    </row>
    <row r="74" spans="1:8" ht="16" customHeight="1" x14ac:dyDescent="0.25">
      <c r="A74" s="48">
        <v>70</v>
      </c>
      <c r="B74" s="8" t="str">
        <f>HYPERLINK("https://www.agah.eu/event/following-a-successful-launch-in-europe-in-2019-the%E2%80%AF2nd%E2%80%AFdermatology-drug-development-europe-summit-returns-to-2021-in-a-fully-digital-format-as-we-werent-able-to-meet/","2021 - 2nd Dermatology Drug Development Europe Summit")</f>
        <v>2021 - 2nd Dermatology Drug Development Europe Summit</v>
      </c>
      <c r="C74" s="53" t="s">
        <v>36</v>
      </c>
      <c r="D74" s="53" t="s">
        <v>37</v>
      </c>
      <c r="E74" s="53" t="s">
        <v>394</v>
      </c>
      <c r="F74" s="2" t="s">
        <v>469</v>
      </c>
      <c r="G74" s="28" t="s">
        <v>904</v>
      </c>
      <c r="H74" s="53"/>
    </row>
    <row r="75" spans="1:8" ht="16" customHeight="1" x14ac:dyDescent="0.25">
      <c r="A75" s="48">
        <v>71</v>
      </c>
      <c r="B75" s="8" t="str">
        <f>HYPERLINK("https://www.irishdermatologists.ie/events/detail/spring-meeting-2024","2024 - Spring Meeting Irish Association of Dermatologists (IAD)")</f>
        <v>2024 - Spring Meeting Irish Association of Dermatologists (IAD)</v>
      </c>
      <c r="C75" s="53" t="s">
        <v>31</v>
      </c>
      <c r="D75" s="53" t="s">
        <v>137</v>
      </c>
      <c r="E75" s="53" t="s">
        <v>385</v>
      </c>
      <c r="F75" s="8" t="s">
        <v>1337</v>
      </c>
      <c r="G75" s="28" t="s">
        <v>904</v>
      </c>
      <c r="H75" s="53"/>
    </row>
    <row r="76" spans="1:8" ht="16" customHeight="1" x14ac:dyDescent="0.25">
      <c r="A76" s="48">
        <v>72</v>
      </c>
      <c r="B76" s="8" t="str">
        <f>HYPERLINK("https://www.irishdermatologists.ie/events/detail/spring-2023","2023 - Spring Meeting Irish Association of Dermatologists (IAD)")</f>
        <v>2023 - Spring Meeting Irish Association of Dermatologists (IAD)</v>
      </c>
      <c r="C76" s="53" t="s">
        <v>31</v>
      </c>
      <c r="D76" s="53" t="s">
        <v>137</v>
      </c>
      <c r="E76" s="53" t="s">
        <v>385</v>
      </c>
      <c r="F76" s="2" t="s">
        <v>422</v>
      </c>
      <c r="G76" s="28" t="s">
        <v>904</v>
      </c>
      <c r="H76" s="53"/>
    </row>
    <row r="77" spans="1:8" ht="16" customHeight="1" x14ac:dyDescent="0.25">
      <c r="A77" s="48">
        <v>73</v>
      </c>
      <c r="B77" s="8" t="str">
        <f>HYPERLINK("https://www.irishdermatologists.ie/events/detail/autumn-2023","2023 - Autumn Meeting Irish Association of Dermatologists (IAD)")</f>
        <v>2023 - Autumn Meeting Irish Association of Dermatologists (IAD)</v>
      </c>
      <c r="C77" s="53" t="s">
        <v>31</v>
      </c>
      <c r="D77" s="53" t="s">
        <v>137</v>
      </c>
      <c r="E77" s="53" t="s">
        <v>385</v>
      </c>
      <c r="F77" s="2" t="s">
        <v>427</v>
      </c>
      <c r="G77" s="28" t="s">
        <v>904</v>
      </c>
      <c r="H77" s="53"/>
    </row>
    <row r="78" spans="1:8" ht="16" customHeight="1" x14ac:dyDescent="0.25">
      <c r="A78" s="48">
        <v>74</v>
      </c>
      <c r="B78" s="8" t="str">
        <f>HYPERLINK("https://www.irishdermatologists.ie/events/detail/iad-spring-meeting-5th-7th-may-2022","2022 - Spring Meeting Irish Association of Dermatologists (IAD)")</f>
        <v>2022 - Spring Meeting Irish Association of Dermatologists (IAD)</v>
      </c>
      <c r="C78" s="53" t="s">
        <v>31</v>
      </c>
      <c r="D78" s="53" t="s">
        <v>137</v>
      </c>
      <c r="E78" s="53" t="s">
        <v>385</v>
      </c>
      <c r="F78" s="2" t="s">
        <v>423</v>
      </c>
      <c r="G78" s="28" t="s">
        <v>904</v>
      </c>
      <c r="H78" s="53"/>
    </row>
    <row r="79" spans="1:8" ht="16" customHeight="1" x14ac:dyDescent="0.25">
      <c r="A79" s="48">
        <v>75</v>
      </c>
      <c r="B79" s="8" t="str">
        <f>HYPERLINK("https://www.irishdermatologists.ie/events/detail/autumn-meeting","2022 - Autumn Meeting Irish Association of Dermatologists (IAD)")</f>
        <v>2022 - Autumn Meeting Irish Association of Dermatologists (IAD)</v>
      </c>
      <c r="C79" s="53" t="s">
        <v>31</v>
      </c>
      <c r="D79" s="53" t="s">
        <v>137</v>
      </c>
      <c r="E79" s="53" t="s">
        <v>385</v>
      </c>
      <c r="F79" s="2" t="s">
        <v>428</v>
      </c>
      <c r="G79" s="28" t="s">
        <v>904</v>
      </c>
      <c r="H79" s="53"/>
    </row>
    <row r="80" spans="1:8" ht="16" customHeight="1" x14ac:dyDescent="0.25">
      <c r="A80" s="48">
        <v>76</v>
      </c>
      <c r="B80" s="8" t="str">
        <f>HYPERLINK("https://www.irishdermatologists.ie/events/detail/spring-meeting-2021","2021 - Spring Meeting Irish Association of Dermatologists (IAD)")</f>
        <v>2021 - Spring Meeting Irish Association of Dermatologists (IAD)</v>
      </c>
      <c r="C80" s="53" t="s">
        <v>31</v>
      </c>
      <c r="D80" s="53" t="s">
        <v>137</v>
      </c>
      <c r="E80" s="53" t="s">
        <v>385</v>
      </c>
      <c r="F80" s="2" t="s">
        <v>424</v>
      </c>
      <c r="G80" s="28" t="s">
        <v>904</v>
      </c>
      <c r="H80" s="53"/>
    </row>
    <row r="81" spans="1:8" ht="16" customHeight="1" x14ac:dyDescent="0.25">
      <c r="A81" s="48">
        <v>77</v>
      </c>
      <c r="B81" s="8" t="str">
        <f>HYPERLINK("https://www.irishdermatologists.ie/events/detail/spring-2020","2020 - Spring Meeting Irish Association of Dermatologists (IAD)")</f>
        <v>2020 - Spring Meeting Irish Association of Dermatologists (IAD)</v>
      </c>
      <c r="C81" s="53" t="s">
        <v>31</v>
      </c>
      <c r="D81" s="53" t="s">
        <v>137</v>
      </c>
      <c r="E81" s="53" t="s">
        <v>385</v>
      </c>
      <c r="F81" s="2" t="s">
        <v>425</v>
      </c>
      <c r="G81" s="28" t="s">
        <v>904</v>
      </c>
      <c r="H81" s="53"/>
    </row>
    <row r="82" spans="1:8" ht="16" customHeight="1" x14ac:dyDescent="0.25">
      <c r="A82" s="48">
        <v>78</v>
      </c>
      <c r="B82" s="8" t="str">
        <f>HYPERLINK("https://www.irishdermatologists.ie/events/detail/spring-2019","2019 - Spring Meeting Irish Association of Dermatologists (IAD)")</f>
        <v>2019 - Spring Meeting Irish Association of Dermatologists (IAD)</v>
      </c>
      <c r="C82" s="53" t="s">
        <v>31</v>
      </c>
      <c r="D82" s="53" t="s">
        <v>137</v>
      </c>
      <c r="E82" s="53" t="s">
        <v>385</v>
      </c>
      <c r="F82" s="2" t="s">
        <v>426</v>
      </c>
      <c r="G82" s="28" t="s">
        <v>904</v>
      </c>
      <c r="H82" s="53"/>
    </row>
    <row r="83" spans="1:8" ht="16" customHeight="1" x14ac:dyDescent="0.25">
      <c r="A83" s="48">
        <v>79</v>
      </c>
      <c r="B83" s="8" t="str">
        <f>HYPERLINK("https://www.irishdermatologists.ie/events/detail/autumn-2019","2019 - Autumn Meeting Irish Association of Dermatologists (IAD)")</f>
        <v>2019 - Autumn Meeting Irish Association of Dermatologists (IAD)</v>
      </c>
      <c r="C83" s="53" t="s">
        <v>31</v>
      </c>
      <c r="D83" s="53" t="s">
        <v>137</v>
      </c>
      <c r="E83" s="53" t="s">
        <v>385</v>
      </c>
      <c r="F83" s="2" t="s">
        <v>429</v>
      </c>
      <c r="G83" s="28" t="s">
        <v>904</v>
      </c>
      <c r="H83" s="53"/>
    </row>
    <row r="84" spans="1:8" ht="16" customHeight="1" x14ac:dyDescent="0.25">
      <c r="A84" s="48">
        <v>80</v>
      </c>
      <c r="B84" s="8" t="str">
        <f>HYPERLINK("https://abbey.eventsair.com/AbbeyEventApp/pcdsi-2024/programme/Agenda","2024 - Primary Care Dermatological Society of Ireland Annual Conference")</f>
        <v>2024 - Primary Care Dermatological Society of Ireland Annual Conference</v>
      </c>
      <c r="C84" s="53" t="s">
        <v>31</v>
      </c>
      <c r="D84" s="53" t="s">
        <v>137</v>
      </c>
      <c r="E84" s="53" t="s">
        <v>738</v>
      </c>
      <c r="F84" s="2" t="s">
        <v>828</v>
      </c>
      <c r="G84" s="28" t="s">
        <v>904</v>
      </c>
      <c r="H84" s="53"/>
    </row>
    <row r="85" spans="1:8" ht="16" customHeight="1" x14ac:dyDescent="0.25">
      <c r="A85" s="48">
        <v>81</v>
      </c>
      <c r="B85" s="8" t="str">
        <f>HYPERLINK("https://www.icgp.ie/go/search/6231FBF5-3754-4F5B-88E042BFDA087A44","2023 - Primary Care Dermatological Society of Ireland Annual Conference")</f>
        <v>2023 - Primary Care Dermatological Society of Ireland Annual Conference</v>
      </c>
      <c r="C85" s="53" t="s">
        <v>31</v>
      </c>
      <c r="D85" s="53" t="s">
        <v>137</v>
      </c>
      <c r="E85" s="53" t="s">
        <v>738</v>
      </c>
      <c r="F85" s="2" t="s">
        <v>829</v>
      </c>
      <c r="G85" s="28" t="s">
        <v>904</v>
      </c>
      <c r="H85" s="53"/>
    </row>
    <row r="86" spans="1:8" ht="16" customHeight="1" x14ac:dyDescent="0.25">
      <c r="A86" s="48">
        <v>82</v>
      </c>
      <c r="B86" s="8" t="str">
        <f>HYPERLINK("https://www.icgp.ie/go/search/EE8F78A4-E1E8-438C-863C7E507E586FF5","2022 - Primary Care Dermatological Society of Ireland Annual Conference")</f>
        <v>2022 - Primary Care Dermatological Society of Ireland Annual Conference</v>
      </c>
      <c r="C86" s="53" t="s">
        <v>31</v>
      </c>
      <c r="D86" s="53" t="s">
        <v>137</v>
      </c>
      <c r="E86" s="53" t="s">
        <v>738</v>
      </c>
      <c r="F86" s="2" t="s">
        <v>830</v>
      </c>
      <c r="G86" s="28" t="s">
        <v>904</v>
      </c>
      <c r="H86" s="53"/>
    </row>
    <row r="87" spans="1:8" ht="16" customHeight="1" x14ac:dyDescent="0.25">
      <c r="A87" s="48">
        <v>83</v>
      </c>
      <c r="B87" s="8" t="str">
        <f>HYPERLINK("https://www.icgp.ie/go/search/80339517-D547-4CBB-BB2FB59694897BBC","2020 - Primary Care Dermatological Society of Ireland Annual Conference")</f>
        <v>2020 - Primary Care Dermatological Society of Ireland Annual Conference</v>
      </c>
      <c r="C87" s="53" t="s">
        <v>31</v>
      </c>
      <c r="D87" s="53" t="s">
        <v>137</v>
      </c>
      <c r="E87" s="53" t="s">
        <v>738</v>
      </c>
      <c r="F87" s="2" t="s">
        <v>831</v>
      </c>
      <c r="G87" s="28" t="s">
        <v>904</v>
      </c>
      <c r="H87" s="53"/>
    </row>
    <row r="88" spans="1:8" ht="16" customHeight="1" x14ac:dyDescent="0.25">
      <c r="A88" s="48">
        <v>84</v>
      </c>
      <c r="B88" s="8" t="str">
        <f>HYPERLINK("https://www.medicalindependent.ie/societies/pcdsi/pcdsi-annual-scientific-conference-2019/","2019 - Primary Care Dermatological Society of Ireland Annual Conference")</f>
        <v>2019 - Primary Care Dermatological Society of Ireland Annual Conference</v>
      </c>
      <c r="C88" s="53" t="s">
        <v>31</v>
      </c>
      <c r="D88" s="53" t="s">
        <v>137</v>
      </c>
      <c r="E88" s="53" t="s">
        <v>738</v>
      </c>
      <c r="F88" s="2" t="s">
        <v>832</v>
      </c>
      <c r="G88" s="28" t="s">
        <v>904</v>
      </c>
      <c r="H88" s="53"/>
    </row>
    <row r="89" spans="1:8" ht="16" customHeight="1" x14ac:dyDescent="0.25">
      <c r="A89" s="48">
        <v>85</v>
      </c>
      <c r="B89" s="8" t="str">
        <f>HYPERLINK("https://www.pcds.org.uk/files/events/Scottish-Meeting-2023-final.pdf","2023 - Primary Care Dermatology Society Scottish Meeting")</f>
        <v>2023 - Primary Care Dermatology Society Scottish Meeting</v>
      </c>
      <c r="C89" s="53" t="s">
        <v>31</v>
      </c>
      <c r="D89" s="53" t="s">
        <v>33</v>
      </c>
      <c r="E89" s="53" t="s">
        <v>390</v>
      </c>
      <c r="F89" s="2" t="s">
        <v>443</v>
      </c>
      <c r="G89" s="28" t="s">
        <v>904</v>
      </c>
      <c r="H89" s="53"/>
    </row>
    <row r="90" spans="1:8" ht="16" customHeight="1" x14ac:dyDescent="0.25">
      <c r="A90" s="48">
        <v>86</v>
      </c>
      <c r="B90" s="8" t="str">
        <f>HYPERLINK("https://www.pcds.org.uk/files/events/Scottish-Meeting-final-proof.pdf","2022 - Primary Care Dermatology Society Scottish Meeting")</f>
        <v>2022 - Primary Care Dermatology Society Scottish Meeting</v>
      </c>
      <c r="C90" s="53" t="s">
        <v>31</v>
      </c>
      <c r="D90" s="53" t="s">
        <v>33</v>
      </c>
      <c r="E90" s="53" t="s">
        <v>390</v>
      </c>
      <c r="F90" s="2" t="s">
        <v>444</v>
      </c>
      <c r="G90" s="28" t="s">
        <v>904</v>
      </c>
      <c r="H90" s="53"/>
    </row>
    <row r="91" spans="1:8" ht="16" customHeight="1" x14ac:dyDescent="0.25">
      <c r="A91" s="48">
        <v>87</v>
      </c>
      <c r="B91" s="8" t="str">
        <f>HYPERLINK("https://www.emedevents.com/c/medical-conferences-2021/scottish-meeting-2021","2021 - Primary Care Dermatology Society Scottish Meeting")</f>
        <v>2021 - Primary Care Dermatology Society Scottish Meeting</v>
      </c>
      <c r="C91" s="53" t="s">
        <v>31</v>
      </c>
      <c r="D91" s="53" t="s">
        <v>33</v>
      </c>
      <c r="E91" s="53" t="s">
        <v>390</v>
      </c>
      <c r="F91" s="2" t="s">
        <v>445</v>
      </c>
      <c r="G91" s="28" t="s">
        <v>904</v>
      </c>
      <c r="H91" s="53"/>
    </row>
    <row r="92" spans="1:8" ht="16" customHeight="1" x14ac:dyDescent="0.25">
      <c r="A92" s="48">
        <v>88</v>
      </c>
      <c r="B92" s="8" t="str">
        <f>HYPERLINK("https://www.medicsevents.co.uk/events/advanced-dermoscopy-london-2020/","2020 - Primary Care Dermatology Society Scottish Meeting")</f>
        <v>2020 - Primary Care Dermatology Society Scottish Meeting</v>
      </c>
      <c r="C92" s="53" t="s">
        <v>31</v>
      </c>
      <c r="D92" s="53" t="s">
        <v>33</v>
      </c>
      <c r="E92" s="53" t="s">
        <v>390</v>
      </c>
      <c r="F92" s="2" t="s">
        <v>446</v>
      </c>
      <c r="G92" s="28" t="s">
        <v>904</v>
      </c>
      <c r="H92" s="53"/>
    </row>
    <row r="93" spans="1:8" ht="16" customHeight="1" x14ac:dyDescent="0.25">
      <c r="A93" s="48">
        <v>89</v>
      </c>
      <c r="B93" s="8" t="str">
        <f>HYPERLINK("https://www.medicsevents.co.uk/events/pcds-scottish-meeting-golden-jubilee-conference-centre-glasgow/","2019 - Primary Care Dermatology Society Scottish Meeting")</f>
        <v>2019 - Primary Care Dermatology Society Scottish Meeting</v>
      </c>
      <c r="C93" s="53" t="s">
        <v>31</v>
      </c>
      <c r="D93" s="53" t="s">
        <v>33</v>
      </c>
      <c r="E93" s="53" t="s">
        <v>390</v>
      </c>
      <c r="F93" s="2" t="s">
        <v>447</v>
      </c>
      <c r="G93" s="28" t="s">
        <v>904</v>
      </c>
      <c r="H93" s="53"/>
    </row>
    <row r="94" spans="1:8" ht="16" customHeight="1" x14ac:dyDescent="0.25">
      <c r="A94" s="48">
        <v>90</v>
      </c>
      <c r="B94" s="8" t="str">
        <f>HYPERLINK("https://badannualmeeting.co.uk/meeting-information/","2024 - 104th Annual Meeting British Association of Dermatologists (BAD)")</f>
        <v>2024 - 104th Annual Meeting British Association of Dermatologists (BAD)</v>
      </c>
      <c r="C94" s="53" t="s">
        <v>31</v>
      </c>
      <c r="D94" s="53" t="s">
        <v>35</v>
      </c>
      <c r="E94" s="53" t="s">
        <v>386</v>
      </c>
      <c r="F94" s="2" t="s">
        <v>823</v>
      </c>
      <c r="G94" s="28" t="s">
        <v>904</v>
      </c>
      <c r="H94" s="53"/>
    </row>
    <row r="95" spans="1:8" ht="16" customHeight="1" x14ac:dyDescent="0.25">
      <c r="A95" s="48">
        <v>91</v>
      </c>
      <c r="B95" s="8" t="str">
        <f>HYPERLINK("https://badannualmeeting.co.uk/wp-content/PDF-Flip/BAD-Final-Programme-2023.html","2023 - 103rd Annual Meeting British Association of Dermatologists (BAD)")</f>
        <v>2023 - 103rd Annual Meeting British Association of Dermatologists (BAD)</v>
      </c>
      <c r="C95" s="53" t="s">
        <v>31</v>
      </c>
      <c r="D95" s="53" t="s">
        <v>35</v>
      </c>
      <c r="E95" s="53" t="s">
        <v>386</v>
      </c>
      <c r="F95" s="2" t="s">
        <v>430</v>
      </c>
      <c r="G95" s="28" t="s">
        <v>904</v>
      </c>
      <c r="H95" s="53"/>
    </row>
    <row r="96" spans="1:8" ht="16" customHeight="1" x14ac:dyDescent="0.25">
      <c r="A96" s="48">
        <v>92</v>
      </c>
      <c r="B96" s="2" t="str">
        <f>HYPERLINK("https://badannualmeeting.co.uk/wp-content/PDF-Flip/BAD-Final-Programme-2022.html","2022 - 102nd Annual Meeting British Association of Dermatologists (BAD)")</f>
        <v>2022 - 102nd Annual Meeting British Association of Dermatologists (BAD)</v>
      </c>
      <c r="C96" s="53" t="s">
        <v>31</v>
      </c>
      <c r="D96" s="53" t="s">
        <v>35</v>
      </c>
      <c r="E96" s="53" t="s">
        <v>386</v>
      </c>
      <c r="F96" s="2" t="s">
        <v>431</v>
      </c>
      <c r="G96" s="28" t="s">
        <v>904</v>
      </c>
      <c r="H96" s="53"/>
    </row>
    <row r="97" spans="1:8" ht="16" customHeight="1" x14ac:dyDescent="0.25">
      <c r="A97" s="48">
        <v>93</v>
      </c>
      <c r="B97" s="2" t="str">
        <f>HYPERLINK("https://badannualmeeting.co.uk/wp-content/PDF-Flip/BAD-Final-Programme-2021.html","2021 - 101st Virtual Annual Meeting British Association of Dermatologists (BAD)")</f>
        <v>2021 - 101st Virtual Annual Meeting British Association of Dermatologists (BAD)</v>
      </c>
      <c r="C97" s="53" t="s">
        <v>31</v>
      </c>
      <c r="D97" s="53" t="s">
        <v>35</v>
      </c>
      <c r="E97" s="53" t="s">
        <v>386</v>
      </c>
      <c r="F97" s="2" t="s">
        <v>432</v>
      </c>
      <c r="G97" s="28" t="s">
        <v>904</v>
      </c>
      <c r="H97" s="53"/>
    </row>
    <row r="98" spans="1:8" ht="16" customHeight="1" x14ac:dyDescent="0.25">
      <c r="A98" s="48">
        <v>94</v>
      </c>
      <c r="B98" s="8" t="str">
        <f>HYPERLINK("https://badannualmeeting.co.uk/wp-content/uploads/2021/05/BAD-Final-Programme-2020-20.5.21.pdf","2020 - 100th Annual Meeting British Association of Dermatologists (BAD)")</f>
        <v>2020 - 100th Annual Meeting British Association of Dermatologists (BAD)</v>
      </c>
      <c r="C98" s="53" t="s">
        <v>31</v>
      </c>
      <c r="D98" s="53" t="s">
        <v>35</v>
      </c>
      <c r="E98" s="53" t="s">
        <v>386</v>
      </c>
      <c r="F98" s="2" t="s">
        <v>433</v>
      </c>
      <c r="G98" s="28" t="s">
        <v>904</v>
      </c>
      <c r="H98" s="53"/>
    </row>
    <row r="99" spans="1:8" ht="16" customHeight="1" x14ac:dyDescent="0.25">
      <c r="A99" s="48">
        <v>95</v>
      </c>
      <c r="B99" s="8" t="str">
        <f>HYPERLINK("https://badannualmeeting.co.uk/wp-content/uploads/2019/06/BAD-Final-Programme-2019-for-website-updated.pdf","2019 - 99th Annual Meeting British Association of Dermatologists (BAD)")</f>
        <v>2019 - 99th Annual Meeting British Association of Dermatologists (BAD)</v>
      </c>
      <c r="C99" s="53" t="s">
        <v>31</v>
      </c>
      <c r="D99" s="53" t="s">
        <v>35</v>
      </c>
      <c r="E99" s="53" t="s">
        <v>386</v>
      </c>
      <c r="F99" s="2" t="s">
        <v>434</v>
      </c>
      <c r="G99" s="28" t="s">
        <v>904</v>
      </c>
      <c r="H99" s="53"/>
    </row>
    <row r="100" spans="1:8" ht="16" customHeight="1" x14ac:dyDescent="0.25">
      <c r="A100" s="48">
        <v>96</v>
      </c>
      <c r="B100" s="8" t="str">
        <f>HYPERLINK("https://bdng.org.uk/annual-conference/","2024 - 33rd Annual Conference British Dermatological Nursing Group (BDNG)")</f>
        <v>2024 - 33rd Annual Conference British Dermatological Nursing Group (BDNG)</v>
      </c>
      <c r="C100" s="53" t="s">
        <v>31</v>
      </c>
      <c r="D100" s="53" t="s">
        <v>35</v>
      </c>
      <c r="E100" s="53" t="s">
        <v>387</v>
      </c>
      <c r="F100" s="2" t="s">
        <v>435</v>
      </c>
      <c r="G100" s="28" t="s">
        <v>904</v>
      </c>
      <c r="H100" s="53"/>
    </row>
    <row r="101" spans="1:8" ht="16" customHeight="1" x14ac:dyDescent="0.25">
      <c r="A101" s="48">
        <v>97</v>
      </c>
      <c r="B101" s="8" t="str">
        <f>HYPERLINK("https://bdng.org.uk/annual-conference/","2023 - 32nd Annual Conference British Dermatological Nursing Group (BDNG)")</f>
        <v>2023 - 32nd Annual Conference British Dermatological Nursing Group (BDNG)</v>
      </c>
      <c r="C101" s="53" t="s">
        <v>31</v>
      </c>
      <c r="D101" s="53" t="s">
        <v>35</v>
      </c>
      <c r="E101" s="53" t="s">
        <v>387</v>
      </c>
      <c r="F101" s="2" t="s">
        <v>435</v>
      </c>
      <c r="G101" s="28" t="s">
        <v>904</v>
      </c>
      <c r="H101" s="53"/>
    </row>
    <row r="102" spans="1:8" ht="16" customHeight="1" x14ac:dyDescent="0.25">
      <c r="A102" s="48">
        <v>98</v>
      </c>
      <c r="B102" s="8" t="str">
        <f>HYPERLINK("https://www.emedevents.com/c/medical-conferences-2022/british-dermatological-nursing-group-bdng-31th-annual-conference","2022 - 31st Annual Conference British Dermatological Nursing Group (BDNG)")</f>
        <v>2022 - 31st Annual Conference British Dermatological Nursing Group (BDNG)</v>
      </c>
      <c r="C102" s="53" t="s">
        <v>31</v>
      </c>
      <c r="D102" s="53" t="s">
        <v>35</v>
      </c>
      <c r="E102" s="53" t="s">
        <v>387</v>
      </c>
      <c r="F102" s="2" t="s">
        <v>824</v>
      </c>
      <c r="G102" s="28" t="s">
        <v>904</v>
      </c>
      <c r="H102" s="53"/>
    </row>
    <row r="103" spans="1:8" ht="16" customHeight="1" x14ac:dyDescent="0.25">
      <c r="A103" s="48">
        <v>99</v>
      </c>
      <c r="B103" s="8" t="str">
        <f>HYPERLINK("https://www.emedevents.com/c/medical-conferences-2021/30th-british-dermatological-nursing-group-bdng-annual-conference","2021 - 30th Annual Conference British Dermatological Nursing Group (BDNG)")</f>
        <v>2021 - 30th Annual Conference British Dermatological Nursing Group (BDNG)</v>
      </c>
      <c r="C103" s="53" t="s">
        <v>31</v>
      </c>
      <c r="D103" s="53" t="s">
        <v>35</v>
      </c>
      <c r="E103" s="53" t="s">
        <v>387</v>
      </c>
      <c r="F103" s="2" t="s">
        <v>436</v>
      </c>
      <c r="G103" s="28" t="s">
        <v>904</v>
      </c>
      <c r="H103" s="53"/>
    </row>
    <row r="104" spans="1:8" ht="16" customHeight="1" x14ac:dyDescent="0.25">
      <c r="A104" s="48">
        <v>100</v>
      </c>
      <c r="B104" s="8" t="str">
        <f>HYPERLINK("https://bdng-conference.co.uk/","2019 - 29th Annual Conference British Dermatological Nursing Group (BDNG)")</f>
        <v>2019 - 29th Annual Conference British Dermatological Nursing Group (BDNG)</v>
      </c>
      <c r="C104" s="53" t="s">
        <v>31</v>
      </c>
      <c r="D104" s="53" t="s">
        <v>35</v>
      </c>
      <c r="E104" s="53" t="s">
        <v>387</v>
      </c>
      <c r="F104" s="2" t="s">
        <v>437</v>
      </c>
      <c r="G104" s="28" t="s">
        <v>904</v>
      </c>
      <c r="H104" s="53"/>
    </row>
    <row r="105" spans="1:8" ht="16" customHeight="1" x14ac:dyDescent="0.25">
      <c r="A105" s="48">
        <v>101</v>
      </c>
      <c r="B105" s="2" t="str">
        <f>HYPERLINK("https://cutaneousallergy.org/wp-content/uploads/2023/01/bsca_programme_booklet_2023.pdf","2023 - British Society for Cutaneous Allergy Contact Dermatitis Update Meeting")</f>
        <v>2023 - British Society for Cutaneous Allergy Contact Dermatitis Update Meeting</v>
      </c>
      <c r="C105" s="53" t="s">
        <v>31</v>
      </c>
      <c r="D105" s="53" t="s">
        <v>35</v>
      </c>
      <c r="E105" s="53" t="s">
        <v>396</v>
      </c>
      <c r="F105" s="2" t="s">
        <v>1339</v>
      </c>
      <c r="G105" s="28" t="s">
        <v>197</v>
      </c>
      <c r="H105" s="53"/>
    </row>
    <row r="106" spans="1:8" ht="16" customHeight="1" x14ac:dyDescent="0.25">
      <c r="A106" s="48">
        <v>102</v>
      </c>
      <c r="B106" s="8" t="str">
        <f>HYPERLINK("https://cutaneousallergy.org/wp-content/uploads/dlm_uploads/2021/02/Flyer-Dowling-Club-and-BSCA-Contact-Dermatitis-Update-Meeting-Friday-7th-May-2021.pdf","2021 - British Society for Cutaneous Allergy Contact Dermatitis Update Meeting")</f>
        <v>2021 - British Society for Cutaneous Allergy Contact Dermatitis Update Meeting</v>
      </c>
      <c r="C106" s="53" t="s">
        <v>31</v>
      </c>
      <c r="D106" s="53" t="s">
        <v>35</v>
      </c>
      <c r="E106" s="53" t="s">
        <v>396</v>
      </c>
      <c r="F106" s="2" t="s">
        <v>471</v>
      </c>
      <c r="G106" s="28" t="s">
        <v>197</v>
      </c>
      <c r="H106" s="53"/>
    </row>
    <row r="107" spans="1:8" ht="16" customHeight="1" x14ac:dyDescent="0.25">
      <c r="A107" s="48">
        <v>103</v>
      </c>
      <c r="B107" s="8" t="str">
        <f>HYPERLINK("https://cutaneousallergy.org/meetings-courses/page/2/","2019 - British Society for Cutaneous Allergy Contact Dermatitis Update Meeting")</f>
        <v>2019 - British Society for Cutaneous Allergy Contact Dermatitis Update Meeting</v>
      </c>
      <c r="C107" s="53" t="s">
        <v>31</v>
      </c>
      <c r="D107" s="53" t="s">
        <v>35</v>
      </c>
      <c r="E107" s="53" t="s">
        <v>396</v>
      </c>
      <c r="F107" s="2" t="s">
        <v>825</v>
      </c>
      <c r="G107" s="28" t="s">
        <v>197</v>
      </c>
      <c r="H107" s="53"/>
    </row>
    <row r="108" spans="1:8" ht="16" customHeight="1" x14ac:dyDescent="0.25">
      <c r="A108" s="48">
        <v>104</v>
      </c>
      <c r="B108" s="8" t="str">
        <f>HYPERLINK("https://www.bsid.org.uk/annual-meeting/","2024 - British Society for Investigative Dermatology (BSID) Annual Meeting")</f>
        <v>2024 - British Society for Investigative Dermatology (BSID) Annual Meeting</v>
      </c>
      <c r="C108" s="53" t="s">
        <v>31</v>
      </c>
      <c r="D108" s="53" t="s">
        <v>35</v>
      </c>
      <c r="E108" s="53" t="s">
        <v>388</v>
      </c>
      <c r="F108" s="2" t="s">
        <v>826</v>
      </c>
      <c r="G108" s="28" t="s">
        <v>904</v>
      </c>
      <c r="H108" s="53"/>
    </row>
    <row r="109" spans="1:8" ht="16" customHeight="1" x14ac:dyDescent="0.25">
      <c r="A109" s="48">
        <v>105</v>
      </c>
      <c r="B109" s="8" t="str">
        <f>HYPERLINK("https://www.bsid.org.uk/wp-content/uploads/2023/03/BSID-Annual-Meeting-2023-_Final-Programme190323.pdf","2023 - British Society for Investigative Dermatology (BSID) Annual Meeting")</f>
        <v>2023 - British Society for Investigative Dermatology (BSID) Annual Meeting</v>
      </c>
      <c r="C109" s="53" t="s">
        <v>31</v>
      </c>
      <c r="D109" s="53" t="s">
        <v>35</v>
      </c>
      <c r="E109" s="53" t="s">
        <v>388</v>
      </c>
      <c r="F109" s="2" t="s">
        <v>438</v>
      </c>
      <c r="G109" s="28" t="s">
        <v>904</v>
      </c>
      <c r="H109" s="53"/>
    </row>
    <row r="110" spans="1:8" ht="16" customHeight="1" x14ac:dyDescent="0.25">
      <c r="A110" s="48">
        <v>106</v>
      </c>
      <c r="B110" s="8" t="str">
        <f>HYPERLINK("https://10times.com/british-society-for-investigative-dermatology-annual-meeting","2022 - British Society for Investigative Dermatology (BSID) Annual Meeting")</f>
        <v>2022 - British Society for Investigative Dermatology (BSID) Annual Meeting</v>
      </c>
      <c r="C110" s="53" t="s">
        <v>31</v>
      </c>
      <c r="D110" s="53" t="s">
        <v>35</v>
      </c>
      <c r="E110" s="53" t="s">
        <v>388</v>
      </c>
      <c r="F110" s="2" t="s">
        <v>439</v>
      </c>
      <c r="G110" s="28" t="s">
        <v>904</v>
      </c>
      <c r="H110" s="53"/>
    </row>
    <row r="111" spans="1:8" ht="16" customHeight="1" x14ac:dyDescent="0.25">
      <c r="A111" s="48">
        <v>107</v>
      </c>
      <c r="B111" s="8" t="str">
        <f>HYPERLINK("https://cdn.eventsforce.net/files/ef-uip26iq56uzw/website/298/bsid_2021_scientific_programme_final_a.pdf","2021 - British Society for Investigative Dermatology (BSID) Virtual Annual Meeting")</f>
        <v>2021 - British Society for Investigative Dermatology (BSID) Virtual Annual Meeting</v>
      </c>
      <c r="C111" s="53" t="s">
        <v>31</v>
      </c>
      <c r="D111" s="53" t="s">
        <v>35</v>
      </c>
      <c r="E111" s="53" t="s">
        <v>388</v>
      </c>
      <c r="F111" s="2" t="s">
        <v>440</v>
      </c>
      <c r="G111" s="28" t="s">
        <v>904</v>
      </c>
      <c r="H111" s="53"/>
    </row>
    <row r="112" spans="1:8" ht="16" customHeight="1" x14ac:dyDescent="0.25">
      <c r="A112" s="48">
        <v>108</v>
      </c>
      <c r="B112" s="8" t="str">
        <f>HYPERLINK("https://cdn.eventsforce.net/files/ef-uip26iq56uzw/website/273/bsid_2019_annual_meeting_programme_final_v3.pdf","2019 - British Society for Investigative Dermatology Annual Meeting")</f>
        <v>2019 - British Society for Investigative Dermatology Annual Meeting</v>
      </c>
      <c r="C112" s="53" t="s">
        <v>31</v>
      </c>
      <c r="D112" s="53" t="s">
        <v>35</v>
      </c>
      <c r="E112" s="53" t="s">
        <v>388</v>
      </c>
      <c r="F112" s="2" t="s">
        <v>441</v>
      </c>
      <c r="G112" s="28" t="s">
        <v>904</v>
      </c>
      <c r="H112" s="53"/>
    </row>
    <row r="113" spans="1:8" ht="16" customHeight="1" x14ac:dyDescent="0.25">
      <c r="A113" s="48">
        <v>109</v>
      </c>
      <c r="B113" s="8" t="str">
        <f>HYPERLINK("https://www.bsmd.org.uk/events-courses","2024 - Advanced Medical Dermatology Therapeutics Meeting")</f>
        <v>2024 - Advanced Medical Dermatology Therapeutics Meeting</v>
      </c>
      <c r="C113" s="53" t="s">
        <v>31</v>
      </c>
      <c r="D113" s="53" t="s">
        <v>35</v>
      </c>
      <c r="E113" s="53" t="s">
        <v>389</v>
      </c>
      <c r="F113" s="2" t="s">
        <v>827</v>
      </c>
      <c r="G113" s="28" t="s">
        <v>904</v>
      </c>
      <c r="H113" s="53"/>
    </row>
    <row r="114" spans="1:8" ht="16" customHeight="1" x14ac:dyDescent="0.25">
      <c r="A114" s="48">
        <v>110</v>
      </c>
      <c r="B114" s="8" t="str">
        <f>HYPERLINK("https://www.eventsforce.net/bad/frontend/reg/tAgendaWebsite.csp?pageID=86200&amp;ef_sel_menu=1272&amp;eventID=282&amp;mode=","2019 - Advanced Medical Dermatology Therapeutics Meeting")</f>
        <v>2019 - Advanced Medical Dermatology Therapeutics Meeting</v>
      </c>
      <c r="C114" s="53" t="s">
        <v>31</v>
      </c>
      <c r="D114" s="53" t="s">
        <v>35</v>
      </c>
      <c r="E114" s="53" t="s">
        <v>389</v>
      </c>
      <c r="F114" s="2" t="s">
        <v>442</v>
      </c>
      <c r="G114" s="28" t="s">
        <v>904</v>
      </c>
      <c r="H114" s="53"/>
    </row>
    <row r="115" spans="1:8" ht="16" customHeight="1" x14ac:dyDescent="0.25">
      <c r="A115" s="48">
        <v>111</v>
      </c>
      <c r="B115" s="8" t="str">
        <f>HYPERLINK("https://www.showsbee.com/fairs/BSPAD-Annual-Meeting.html","2024 - 39th Annual Meeting of British Society for Paediatric and Adolescent Dermatology (BSPAD)")</f>
        <v>2024 - 39th Annual Meeting of British Society for Paediatric and Adolescent Dermatology (BSPAD)</v>
      </c>
      <c r="C115" s="53" t="s">
        <v>31</v>
      </c>
      <c r="D115" s="53" t="s">
        <v>35</v>
      </c>
      <c r="E115" s="53" t="s">
        <v>965</v>
      </c>
      <c r="F115" s="2" t="s">
        <v>966</v>
      </c>
      <c r="G115" s="28" t="s">
        <v>911</v>
      </c>
      <c r="H115" s="53"/>
    </row>
    <row r="116" spans="1:8" ht="16" customHeight="1" x14ac:dyDescent="0.25">
      <c r="A116" s="48">
        <v>112</v>
      </c>
      <c r="B116" s="8" t="str">
        <f>HYPERLINK("https://academic.oup.com/bjd/issue/190/Supplement_1?login=false","2023 - 38th Annual Meeting of British Society for Paediatric and Adolescent Dermatology (BSPAD)")</f>
        <v>2023 - 38th Annual Meeting of British Society for Paediatric and Adolescent Dermatology (BSPAD)</v>
      </c>
      <c r="C116" s="53" t="s">
        <v>31</v>
      </c>
      <c r="D116" s="53" t="s">
        <v>35</v>
      </c>
      <c r="E116" s="53" t="s">
        <v>965</v>
      </c>
      <c r="F116" s="2" t="s">
        <v>967</v>
      </c>
      <c r="G116" s="28" t="s">
        <v>911</v>
      </c>
      <c r="H116" s="53"/>
    </row>
    <row r="117" spans="1:8" ht="16" customHeight="1" x14ac:dyDescent="0.25">
      <c r="A117" s="48">
        <v>113</v>
      </c>
      <c r="B117" s="8" t="str">
        <f>HYPERLINK("https://bspad.co.uk/british-society-for-paediatric-and-adolescent-dermatology-annual-meeting-2022/","2022 - 37th Annual Meeting of British Society for Paediatric and Adolescent Dermatology (BSPAD)")</f>
        <v>2022 - 37th Annual Meeting of British Society for Paediatric and Adolescent Dermatology (BSPAD)</v>
      </c>
      <c r="C117" s="53" t="s">
        <v>31</v>
      </c>
      <c r="D117" s="53" t="s">
        <v>35</v>
      </c>
      <c r="E117" s="53" t="s">
        <v>965</v>
      </c>
      <c r="F117" s="2" t="s">
        <v>968</v>
      </c>
      <c r="G117" s="28" t="s">
        <v>911</v>
      </c>
      <c r="H117" s="53"/>
    </row>
    <row r="118" spans="1:8" ht="16" customHeight="1" x14ac:dyDescent="0.25">
      <c r="A118" s="48">
        <v>114</v>
      </c>
      <c r="B118" s="8" t="str">
        <f>HYPERLINK("https://bspad.co.uk/app/uploads/2023/01/BSPD-Programme-2019.pdf","2019 - 34th Annual Meeting of British Society for Paediatric Dermatology (BSPD)")</f>
        <v>2019 - 34th Annual Meeting of British Society for Paediatric Dermatology (BSPD)</v>
      </c>
      <c r="C118" s="53" t="s">
        <v>31</v>
      </c>
      <c r="D118" s="53" t="s">
        <v>35</v>
      </c>
      <c r="E118" s="53" t="s">
        <v>965</v>
      </c>
      <c r="F118" s="2" t="s">
        <v>969</v>
      </c>
      <c r="G118" s="28" t="s">
        <v>911</v>
      </c>
      <c r="H118" s="53"/>
    </row>
  </sheetData>
  <autoFilter ref="A4:H4"/>
  <sortState ref="A5:H118">
    <sortCondition ref="C5:C118" customList="International,Regional,National"/>
    <sortCondition ref="D5:D118"/>
    <sortCondition ref="E5:E118"/>
    <sortCondition ref="A5:A118"/>
  </sortState>
  <mergeCells count="2">
    <mergeCell ref="A1:H1"/>
    <mergeCell ref="A2:H3"/>
  </mergeCells>
  <hyperlinks>
    <hyperlink ref="F5" r:id="rId1"/>
    <hyperlink ref="F6" r:id="rId2"/>
    <hyperlink ref="F7" r:id="rId3" display="https://2023.dnanurse.org/about/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 location="doha" display="https://isad.org/events/14th-georg-rajka-symposium-isad-2024-doha?date=202402061229 - doha"/>
    <hyperlink ref="F25" r:id="rId21"/>
    <hyperlink ref="F26" r:id="rId22"/>
    <hyperlink ref="F27" r:id="rId23"/>
    <hyperlink ref="F28" r:id="rId24"/>
    <hyperlink ref="F29" r:id="rId25"/>
    <hyperlink ref="F30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 location="scientificprogramme" display="https://eadvcongress2023.org/scientific/ - scientificprogramme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0" r:id="rId55"/>
    <hyperlink ref="F61" r:id="rId56"/>
    <hyperlink ref="F62" r:id="rId57"/>
    <hyperlink ref="F63" r:id="rId58"/>
    <hyperlink ref="F64" r:id="rId59"/>
    <hyperlink ref="F65" r:id="rId60"/>
    <hyperlink ref="F71" r:id="rId61"/>
    <hyperlink ref="F72" r:id="rId62"/>
    <hyperlink ref="F73" r:id="rId63"/>
    <hyperlink ref="F74" r:id="rId64"/>
    <hyperlink ref="F76" r:id="rId65"/>
    <hyperlink ref="F77" r:id="rId66"/>
    <hyperlink ref="F78" r:id="rId67"/>
    <hyperlink ref="F79" r:id="rId68"/>
    <hyperlink ref="F80" r:id="rId69"/>
    <hyperlink ref="F81" r:id="rId70"/>
    <hyperlink ref="F82" r:id="rId71"/>
    <hyperlink ref="F83" r:id="rId72"/>
    <hyperlink ref="F84" r:id="rId73"/>
    <hyperlink ref="F85" r:id="rId74"/>
    <hyperlink ref="F86" r:id="rId75"/>
    <hyperlink ref="F87" r:id="rId76"/>
    <hyperlink ref="F88" r:id="rId77"/>
    <hyperlink ref="F89" r:id="rId78"/>
    <hyperlink ref="F90" r:id="rId79"/>
    <hyperlink ref="F91" r:id="rId80"/>
    <hyperlink ref="F92" r:id="rId81"/>
    <hyperlink ref="F93" r:id="rId82"/>
    <hyperlink ref="F94" r:id="rId83"/>
    <hyperlink ref="F95" r:id="rId84"/>
    <hyperlink ref="F96" r:id="rId85"/>
    <hyperlink ref="F97" r:id="rId86"/>
    <hyperlink ref="F98" r:id="rId87"/>
    <hyperlink ref="F99" r:id="rId88"/>
    <hyperlink ref="F100" r:id="rId89"/>
    <hyperlink ref="F101" r:id="rId90"/>
    <hyperlink ref="F102" r:id="rId91"/>
    <hyperlink ref="F103" r:id="rId92"/>
    <hyperlink ref="F104" r:id="rId93"/>
    <hyperlink ref="F106" r:id="rId94"/>
    <hyperlink ref="F107" r:id="rId95"/>
    <hyperlink ref="F108" r:id="rId96"/>
    <hyperlink ref="F109" r:id="rId97"/>
    <hyperlink ref="F110" r:id="rId98"/>
    <hyperlink ref="F111" r:id="rId99"/>
    <hyperlink ref="F112" r:id="rId100"/>
    <hyperlink ref="F113" r:id="rId101"/>
    <hyperlink ref="F114" r:id="rId102"/>
    <hyperlink ref="F31" r:id="rId103"/>
    <hyperlink ref="F66" r:id="rId104"/>
    <hyperlink ref="F67" r:id="rId105"/>
    <hyperlink ref="F68" r:id="rId106"/>
    <hyperlink ref="F69" r:id="rId107"/>
    <hyperlink ref="F70" r:id="rId108"/>
    <hyperlink ref="F115" r:id="rId109"/>
    <hyperlink ref="F116" r:id="rId110"/>
    <hyperlink ref="F117" r:id="rId111"/>
    <hyperlink ref="F118" r:id="rId112"/>
    <hyperlink ref="F75" r:id="rId113"/>
    <hyperlink ref="F105" r:id="rId114"/>
  </hyperlinks>
  <pageMargins left="0.7" right="0.7" top="0.75" bottom="0.75" header="0.3" footer="0.3"/>
  <pageSetup orientation="portrait" r:id="rId1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I26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25"/>
  <cols>
    <col min="1" max="1" width="6.1796875" customWidth="1"/>
    <col min="2" max="2" width="70.81640625" customWidth="1"/>
    <col min="3" max="3" width="24.1796875" customWidth="1"/>
    <col min="4" max="5" width="15.81640625" customWidth="1"/>
    <col min="6" max="6" width="28" customWidth="1"/>
    <col min="7" max="9" width="15.81640625" customWidth="1"/>
  </cols>
  <sheetData>
    <row r="1" spans="1:9" ht="24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15" customHeight="1" x14ac:dyDescent="0.25">
      <c r="A2" s="77" t="s">
        <v>7</v>
      </c>
      <c r="B2" s="78"/>
      <c r="C2" s="78"/>
      <c r="D2" s="78"/>
      <c r="E2" s="78"/>
      <c r="F2" s="78"/>
      <c r="G2" s="78"/>
      <c r="H2" s="78"/>
      <c r="I2" s="78"/>
    </row>
    <row r="3" spans="1:9" ht="15" customHeight="1" x14ac:dyDescent="0.25">
      <c r="A3" s="78"/>
      <c r="B3" s="78"/>
      <c r="C3" s="78"/>
      <c r="D3" s="78"/>
      <c r="E3" s="78"/>
      <c r="F3" s="78"/>
      <c r="G3" s="78"/>
      <c r="H3" s="78"/>
      <c r="I3" s="78"/>
    </row>
    <row r="4" spans="1:9" ht="28.5" customHeight="1" x14ac:dyDescent="0.25">
      <c r="A4" s="1" t="s">
        <v>14</v>
      </c>
      <c r="B4" s="19" t="s">
        <v>8</v>
      </c>
      <c r="C4" s="19" t="s">
        <v>6</v>
      </c>
      <c r="D4" s="1" t="s">
        <v>19</v>
      </c>
      <c r="E4" s="1" t="s">
        <v>20</v>
      </c>
      <c r="F4" s="1" t="s">
        <v>16</v>
      </c>
      <c r="G4" s="19" t="s">
        <v>9</v>
      </c>
      <c r="H4" s="19" t="s">
        <v>902</v>
      </c>
      <c r="I4" s="19" t="s">
        <v>3</v>
      </c>
    </row>
    <row r="5" spans="1:9" ht="16" customHeight="1" x14ac:dyDescent="0.25">
      <c r="A5" s="50">
        <v>1</v>
      </c>
      <c r="B5" s="8" t="str">
        <f>HYPERLINK("https://www.jaad.org/action/showPdf?pii=S0190-9622%2813%2901095-5","Guidelines of Care for the Management of Atopic Dermatitis: Section 1. Diagnosis and Assessment of Atopic Dermatitis")</f>
        <v>Guidelines of Care for the Management of Atopic Dermatitis: Section 1. Diagnosis and Assessment of Atopic Dermatitis</v>
      </c>
      <c r="C5" s="26" t="s">
        <v>473</v>
      </c>
      <c r="D5" s="26" t="s">
        <v>30</v>
      </c>
      <c r="E5" s="26" t="s">
        <v>30</v>
      </c>
      <c r="F5" s="2" t="s">
        <v>476</v>
      </c>
      <c r="G5" s="26" t="s">
        <v>197</v>
      </c>
      <c r="H5" s="26" t="s">
        <v>197</v>
      </c>
      <c r="I5" s="26"/>
    </row>
    <row r="6" spans="1:9" ht="16" customHeight="1" x14ac:dyDescent="0.25">
      <c r="A6" s="50">
        <v>2</v>
      </c>
      <c r="B6" s="8" t="str">
        <f>HYPERLINK("https://www.jaad.org/action/showPdf?pii=S0190-9622%2814%2901257-2","Guidelines of Care for the Management of Atopic Dermatitis: Section 2. Management and Treatment of Atopic Dermatitis With Topical Therapies")</f>
        <v>Guidelines of Care for the Management of Atopic Dermatitis: Section 2. Management and Treatment of Atopic Dermatitis With Topical Therapies</v>
      </c>
      <c r="C6" s="26" t="s">
        <v>473</v>
      </c>
      <c r="D6" s="26" t="s">
        <v>30</v>
      </c>
      <c r="E6" s="26" t="s">
        <v>30</v>
      </c>
      <c r="F6" s="2" t="s">
        <v>477</v>
      </c>
      <c r="G6" s="26" t="s">
        <v>197</v>
      </c>
      <c r="H6" s="26" t="s">
        <v>197</v>
      </c>
      <c r="I6" s="26"/>
    </row>
    <row r="7" spans="1:9" ht="16" customHeight="1" x14ac:dyDescent="0.25">
      <c r="A7" s="50">
        <v>3</v>
      </c>
      <c r="B7" s="8" t="str">
        <f>HYPERLINK("https://www.jaad.org/action/showPdf?pii=S0190-9622%2814%2901264-X","Guidelines of Care for the Management of Atopic Dermatitis: Section 3. Management and Treatment With Phototherapy and Systemic Agents")</f>
        <v>Guidelines of Care for the Management of Atopic Dermatitis: Section 3. Management and Treatment With Phototherapy and Systemic Agents</v>
      </c>
      <c r="C7" s="26" t="s">
        <v>473</v>
      </c>
      <c r="D7" s="26" t="s">
        <v>30</v>
      </c>
      <c r="E7" s="26" t="s">
        <v>30</v>
      </c>
      <c r="F7" s="2" t="s">
        <v>478</v>
      </c>
      <c r="G7" s="26" t="s">
        <v>197</v>
      </c>
      <c r="H7" s="26" t="s">
        <v>197</v>
      </c>
      <c r="I7" s="26"/>
    </row>
    <row r="8" spans="1:9" ht="16" customHeight="1" x14ac:dyDescent="0.25">
      <c r="A8" s="50">
        <v>4</v>
      </c>
      <c r="B8" s="8" t="str">
        <f>HYPERLINK("https://www.jaad.org/action/showPdf?pii=S0190-9622%2814%2901887-8","Guidelines of Care for the Management of Atopic Dermatitis: Section 4. Prevention of Disease Flares and Use of Adjunctive Therapies and Approaches")</f>
        <v>Guidelines of Care for the Management of Atopic Dermatitis: Section 4. Prevention of Disease Flares and Use of Adjunctive Therapies and Approaches</v>
      </c>
      <c r="C8" s="26" t="s">
        <v>473</v>
      </c>
      <c r="D8" s="26" t="s">
        <v>30</v>
      </c>
      <c r="E8" s="26" t="s">
        <v>30</v>
      </c>
      <c r="F8" s="2" t="s">
        <v>479</v>
      </c>
      <c r="G8" s="26" t="s">
        <v>197</v>
      </c>
      <c r="H8" s="26" t="s">
        <v>197</v>
      </c>
      <c r="I8" s="26"/>
    </row>
    <row r="9" spans="1:9" ht="16" customHeight="1" x14ac:dyDescent="0.25">
      <c r="A9" s="50">
        <v>5</v>
      </c>
      <c r="B9" s="8" t="str">
        <f>HYPERLINK("https://pubmed.ncbi.nlm.nih.gov/29672835/","Report from the fifth international consensus meeting to harmonize core outcome measures for atopic eczema/dermatitis clinical trials (HOME initiative)")</f>
        <v>Report from the fifth international consensus meeting to harmonize core outcome measures for atopic eczema/dermatitis clinical trials (HOME initiative)</v>
      </c>
      <c r="C9" s="26" t="s">
        <v>734</v>
      </c>
      <c r="D9" s="26" t="s">
        <v>30</v>
      </c>
      <c r="E9" s="26" t="s">
        <v>30</v>
      </c>
      <c r="F9" s="2" t="s">
        <v>808</v>
      </c>
      <c r="G9" s="26" t="s">
        <v>197</v>
      </c>
      <c r="H9" s="26" t="s">
        <v>197</v>
      </c>
      <c r="I9" s="26"/>
    </row>
    <row r="10" spans="1:9" ht="16" customHeight="1" x14ac:dyDescent="0.25">
      <c r="A10" s="50">
        <v>6</v>
      </c>
      <c r="B10" s="8" t="str">
        <f>HYPERLINK("https://www.jaad.org/article/S0190-9622(17)31944-8/fulltext","When Does Atopic Dermatitis Warrant Systemic Therapy? Recommendations From an Expert Panel of the International Eczema Council")</f>
        <v>When Does Atopic Dermatitis Warrant Systemic Therapy? Recommendations From an Expert Panel of the International Eczema Council</v>
      </c>
      <c r="C10" s="26" t="s">
        <v>472</v>
      </c>
      <c r="D10" s="26" t="s">
        <v>30</v>
      </c>
      <c r="E10" s="26" t="s">
        <v>30</v>
      </c>
      <c r="F10" s="2" t="s">
        <v>480</v>
      </c>
      <c r="G10" s="26" t="s">
        <v>197</v>
      </c>
      <c r="H10" s="26" t="s">
        <v>197</v>
      </c>
      <c r="I10" s="26"/>
    </row>
    <row r="11" spans="1:9" ht="16" customHeight="1" x14ac:dyDescent="0.25">
      <c r="A11" s="50">
        <v>7</v>
      </c>
      <c r="B11" s="8" t="str">
        <f>HYPERLINK("https://www.thermofisher.com/diagnostic-education/dam/clinical/documents/EU-Guidelines-Atopic-Eczema-Adults-Children-Part2.pdf","Consensus-based European guidelines for treatment of atopic eczema (atopic dermatitis) in adults and children: part II")</f>
        <v>Consensus-based European guidelines for treatment of atopic eczema (atopic dermatitis) in adults and children: part II</v>
      </c>
      <c r="C11" s="26" t="s">
        <v>391</v>
      </c>
      <c r="D11" s="26" t="s">
        <v>36</v>
      </c>
      <c r="E11" s="26" t="s">
        <v>37</v>
      </c>
      <c r="F11" s="2" t="s">
        <v>481</v>
      </c>
      <c r="G11" s="26" t="s">
        <v>223</v>
      </c>
      <c r="H11" s="26" t="s">
        <v>197</v>
      </c>
      <c r="I11" s="26"/>
    </row>
    <row r="12" spans="1:9" ht="16" customHeight="1" x14ac:dyDescent="0.25">
      <c r="A12" s="50">
        <v>8</v>
      </c>
      <c r="B12" s="8" t="str">
        <f>HYPERLINK("https://eprints.whiterose.ac.uk/168442/","ETFAD/EADV Eczema task force 2020 position paper on diagnosis and treatment of atopic dermatitis in adults and children")</f>
        <v>ETFAD/EADV Eczema task force 2020 position paper on diagnosis and treatment of atopic dermatitis in adults and children</v>
      </c>
      <c r="C12" s="26" t="s">
        <v>973</v>
      </c>
      <c r="D12" s="26" t="s">
        <v>36</v>
      </c>
      <c r="E12" s="26" t="s">
        <v>37</v>
      </c>
      <c r="F12" s="2" t="s">
        <v>974</v>
      </c>
      <c r="G12" s="26" t="s">
        <v>197</v>
      </c>
      <c r="H12" s="26" t="s">
        <v>978</v>
      </c>
      <c r="I12" s="26"/>
    </row>
    <row r="13" spans="1:9" ht="16" customHeight="1" x14ac:dyDescent="0.25">
      <c r="A13" s="50">
        <v>9</v>
      </c>
      <c r="B13" s="8" t="str">
        <f>HYPERLINK("https://www.nice.org.uk/guidance/ta814/resources/abrocitinib-tralokinumab-or-upadacitinib-for-treating-moderate-to-severe-atopic-dermatitis-pdf-82613310355141","Abrocitinib, tralokinumab or upadacitinib for treating moderate to severe atopic dermatitis")</f>
        <v>Abrocitinib, tralokinumab or upadacitinib for treating moderate to severe atopic dermatitis</v>
      </c>
      <c r="C13" s="26" t="s">
        <v>34</v>
      </c>
      <c r="D13" s="26" t="s">
        <v>31</v>
      </c>
      <c r="E13" s="26" t="s">
        <v>32</v>
      </c>
      <c r="F13" s="2" t="s">
        <v>625</v>
      </c>
      <c r="G13" s="26" t="s">
        <v>197</v>
      </c>
      <c r="H13" s="26" t="s">
        <v>197</v>
      </c>
      <c r="I13" s="26"/>
    </row>
    <row r="14" spans="1:9" ht="16" customHeight="1" x14ac:dyDescent="0.25">
      <c r="A14" s="50">
        <v>10</v>
      </c>
      <c r="B14" s="8" t="str">
        <f>HYPERLINK("https://www.nice.org.uk/guidance/cg57/resources/atopic-eczema-in-under-12s-diagnosis-and-management-pdf-975512529349","Atopic Eczema in Under 12s: Diagnosis and Management")</f>
        <v>Atopic Eczema in Under 12s: Diagnosis and Management</v>
      </c>
      <c r="C14" s="26" t="s">
        <v>34</v>
      </c>
      <c r="D14" s="26" t="s">
        <v>31</v>
      </c>
      <c r="E14" s="26" t="s">
        <v>32</v>
      </c>
      <c r="F14" s="2" t="s">
        <v>972</v>
      </c>
      <c r="G14" s="26" t="s">
        <v>197</v>
      </c>
      <c r="H14" s="26" t="s">
        <v>978</v>
      </c>
      <c r="I14" s="26"/>
    </row>
    <row r="15" spans="1:9" ht="16" customHeight="1" x14ac:dyDescent="0.25">
      <c r="A15" s="50">
        <v>11</v>
      </c>
      <c r="B15" s="8" t="str">
        <f>HYPERLINK("https://www.nice.org.uk/guidance/ta681/resources/baricitinib-for-treating-moderate-to-severe-atopic-dermatitis-pdf-82609375014853","Baricitinib for Treating Moderate to Severe Atopic Dermatitis")</f>
        <v>Baricitinib for Treating Moderate to Severe Atopic Dermatitis</v>
      </c>
      <c r="C15" s="26" t="s">
        <v>386</v>
      </c>
      <c r="D15" s="26" t="s">
        <v>31</v>
      </c>
      <c r="E15" s="26" t="s">
        <v>32</v>
      </c>
      <c r="F15" s="2" t="s">
        <v>486</v>
      </c>
      <c r="G15" s="26" t="s">
        <v>197</v>
      </c>
      <c r="H15" s="26" t="s">
        <v>197</v>
      </c>
      <c r="I15" s="26"/>
    </row>
    <row r="16" spans="1:9" ht="16" customHeight="1" x14ac:dyDescent="0.25">
      <c r="A16" s="50">
        <v>12</v>
      </c>
      <c r="B16" s="8" t="str">
        <f>HYPERLINK("https://academic.oup.com/bjd/article/174/1/24/6616636","British Association of Dermatologists and British Photodermatology Group guidelines for the safe and effective use of psoralen-ultraviolet A therapy 2015")</f>
        <v>British Association of Dermatologists and British Photodermatology Group guidelines for the safe and effective use of psoralen-ultraviolet A therapy 2015</v>
      </c>
      <c r="C16" s="26" t="s">
        <v>386</v>
      </c>
      <c r="D16" s="26" t="s">
        <v>31</v>
      </c>
      <c r="E16" s="26" t="s">
        <v>32</v>
      </c>
      <c r="F16" s="2" t="s">
        <v>977</v>
      </c>
      <c r="G16" s="26" t="s">
        <v>906</v>
      </c>
      <c r="H16" s="26" t="s">
        <v>906</v>
      </c>
      <c r="I16" s="26"/>
    </row>
    <row r="17" spans="1:9" ht="16" customHeight="1" x14ac:dyDescent="0.25">
      <c r="A17" s="50">
        <v>13</v>
      </c>
      <c r="B17" s="8" t="str">
        <f>HYPERLINK("https://academic.oup.com/bjd/article/180/6/1312/6731158","British Association of Dermatologists guidelines for the safe and effective prescribing of oral ciclosporin in dermatology 2018")</f>
        <v>British Association of Dermatologists guidelines for the safe and effective prescribing of oral ciclosporin in dermatology 2018</v>
      </c>
      <c r="C17" s="26" t="s">
        <v>386</v>
      </c>
      <c r="D17" s="26" t="s">
        <v>31</v>
      </c>
      <c r="E17" s="26" t="s">
        <v>32</v>
      </c>
      <c r="F17" s="2" t="s">
        <v>975</v>
      </c>
      <c r="G17" s="26" t="s">
        <v>906</v>
      </c>
      <c r="H17" s="26" t="s">
        <v>906</v>
      </c>
      <c r="I17" s="26"/>
    </row>
    <row r="18" spans="1:9" ht="16" customHeight="1" x14ac:dyDescent="0.25">
      <c r="A18" s="50">
        <v>14</v>
      </c>
      <c r="B18" s="8" t="str">
        <f>HYPERLINK("https://onlinelibrary.wiley.com/doi/full/10.1111/bjd.14816","British Association of Dermatologists’ guidelines for the safe and effective prescribing of methotrexate for skin disease 2016")</f>
        <v>British Association of Dermatologists’ guidelines for the safe and effective prescribing of methotrexate for skin disease 2016</v>
      </c>
      <c r="C18" s="26" t="s">
        <v>386</v>
      </c>
      <c r="D18" s="26" t="s">
        <v>31</v>
      </c>
      <c r="E18" s="26" t="s">
        <v>32</v>
      </c>
      <c r="F18" s="2" t="s">
        <v>976</v>
      </c>
      <c r="G18" s="26" t="s">
        <v>906</v>
      </c>
      <c r="H18" s="26" t="s">
        <v>906</v>
      </c>
      <c r="I18" s="26"/>
    </row>
    <row r="19" spans="1:9" ht="16" customHeight="1" x14ac:dyDescent="0.25">
      <c r="A19" s="50">
        <v>15</v>
      </c>
      <c r="B19" s="8" t="str">
        <f>HYPERLINK("https://www.rcplondon.ac.uk/guidelines-policy/dermatitis-occupational-aspects-management-2009","Dermatitis: Occupational Aspects of Management 2009")</f>
        <v>Dermatitis: Occupational Aspects of Management 2009</v>
      </c>
      <c r="C19" s="26" t="s">
        <v>134</v>
      </c>
      <c r="D19" s="26" t="s">
        <v>31</v>
      </c>
      <c r="E19" s="26" t="s">
        <v>32</v>
      </c>
      <c r="F19" s="2" t="s">
        <v>484</v>
      </c>
      <c r="G19" s="26" t="s">
        <v>141</v>
      </c>
      <c r="H19" s="26" t="s">
        <v>197</v>
      </c>
      <c r="I19" s="26"/>
    </row>
    <row r="20" spans="1:9" ht="16" customHeight="1" x14ac:dyDescent="0.25">
      <c r="A20" s="50">
        <v>16</v>
      </c>
      <c r="B20" s="8" t="str">
        <f>HYPERLINK("https://www.nice.org.uk/guidance/ta534/resources/dupilumab-for-treating-moderate-to-severe-atopic-dermatitis-pdf-82606900940485","Dupilumab for Treating Moderate to Severe Atopic Dermatitis after Topical Treatments")</f>
        <v>Dupilumab for Treating Moderate to Severe Atopic Dermatitis after Topical Treatments</v>
      </c>
      <c r="C20" s="26" t="s">
        <v>34</v>
      </c>
      <c r="D20" s="26" t="s">
        <v>31</v>
      </c>
      <c r="E20" s="26" t="s">
        <v>32</v>
      </c>
      <c r="F20" s="2" t="s">
        <v>487</v>
      </c>
      <c r="G20" s="26" t="s">
        <v>197</v>
      </c>
      <c r="H20" s="26" t="s">
        <v>197</v>
      </c>
      <c r="I20" s="26"/>
    </row>
    <row r="21" spans="1:9" ht="16" customHeight="1" x14ac:dyDescent="0.25">
      <c r="A21" s="50">
        <v>17</v>
      </c>
      <c r="B21" s="8" t="str">
        <f>HYPERLINK("https://www.nice.org.uk/guidance/ta81/resources/frequency-of-application-of-topical-corticosteroids-for-atopic-eczema-pdf-2294813945797","Frequency of Application of Topical Corticosteroids for Atopic Eczema")</f>
        <v>Frequency of Application of Topical Corticosteroids for Atopic Eczema</v>
      </c>
      <c r="C21" s="26" t="s">
        <v>34</v>
      </c>
      <c r="D21" s="26" t="s">
        <v>31</v>
      </c>
      <c r="E21" s="26" t="s">
        <v>32</v>
      </c>
      <c r="F21" s="2" t="s">
        <v>482</v>
      </c>
      <c r="G21" s="26" t="s">
        <v>223</v>
      </c>
      <c r="H21" s="26" t="s">
        <v>197</v>
      </c>
      <c r="I21" s="26"/>
    </row>
    <row r="22" spans="1:9" ht="16" customHeight="1" x14ac:dyDescent="0.25">
      <c r="A22" s="50">
        <v>18</v>
      </c>
      <c r="B22" s="8" t="str">
        <f>HYPERLINK("https://www.clinicalguidelines.scot.nhs.uk/nhsggc-guidelines/nhsggc-guidelines/dermatology/management-of-atopic-eczema-in-children/","Management of atopic eczema in children")</f>
        <v>Management of atopic eczema in children</v>
      </c>
      <c r="C22" s="26" t="s">
        <v>970</v>
      </c>
      <c r="D22" s="26" t="s">
        <v>31</v>
      </c>
      <c r="E22" s="26" t="s">
        <v>32</v>
      </c>
      <c r="F22" s="2" t="s">
        <v>971</v>
      </c>
      <c r="G22" s="26" t="s">
        <v>197</v>
      </c>
      <c r="H22" s="26" t="s">
        <v>978</v>
      </c>
      <c r="I22" s="26"/>
    </row>
    <row r="23" spans="1:9" ht="16" customHeight="1" x14ac:dyDescent="0.25">
      <c r="A23" s="50">
        <v>19</v>
      </c>
      <c r="B23" s="8" t="str">
        <f>HYPERLINK("https://www.nice.org.uk/guidance/ng190/resources/secondary-bacterial-infection-of-eczema-and-other-common-skin-conditions-antimicrobial-prescribing-pdf-66142075429573","Secondary Bacterial Infection of Eczema and Other Common Skin Conditions: Antimicrobial Prescribing")</f>
        <v>Secondary Bacterial Infection of Eczema and Other Common Skin Conditions: Antimicrobial Prescribing</v>
      </c>
      <c r="C23" s="26" t="s">
        <v>34</v>
      </c>
      <c r="D23" s="26" t="s">
        <v>31</v>
      </c>
      <c r="E23" s="26" t="s">
        <v>32</v>
      </c>
      <c r="F23" s="2" t="s">
        <v>485</v>
      </c>
      <c r="G23" s="26" t="s">
        <v>200</v>
      </c>
      <c r="H23" s="26" t="s">
        <v>197</v>
      </c>
      <c r="I23" s="26"/>
    </row>
    <row r="24" spans="1:9" ht="16" customHeight="1" x14ac:dyDescent="0.25">
      <c r="A24" s="50">
        <v>20</v>
      </c>
      <c r="B24" s="8" t="str">
        <f>HYPERLINK("https://www.nice.org.uk/guidance/ta82/resources/tacrolimus-and-pimecrolimus-for-atopic-eczema-pdf-2294815625413","Tacrolimus and Pimecrolimus for Atopic Eczema")</f>
        <v>Tacrolimus and Pimecrolimus for Atopic Eczema</v>
      </c>
      <c r="C24" s="26" t="s">
        <v>34</v>
      </c>
      <c r="D24" s="26" t="s">
        <v>31</v>
      </c>
      <c r="E24" s="26" t="s">
        <v>32</v>
      </c>
      <c r="F24" s="2" t="s">
        <v>483</v>
      </c>
      <c r="G24" s="26" t="s">
        <v>223</v>
      </c>
      <c r="H24" s="26" t="s">
        <v>197</v>
      </c>
      <c r="I24" s="26"/>
    </row>
    <row r="25" spans="1:9" ht="16" customHeight="1" x14ac:dyDescent="0.25">
      <c r="A25" s="50">
        <v>21</v>
      </c>
      <c r="B25" s="8" t="str">
        <f>HYPERLINK("https://www.nice.org.uk/guidance/indevelopment/gid-ta10597","Upadacitinib for Treating Moderate to Severe Atopic Dermatitis in People Aged 12 and Over [ID3733]")</f>
        <v>Upadacitinib for Treating Moderate to Severe Atopic Dermatitis in People Aged 12 and Over [ID3733]</v>
      </c>
      <c r="C25" s="26" t="s">
        <v>474</v>
      </c>
      <c r="D25" s="26" t="s">
        <v>31</v>
      </c>
      <c r="E25" s="26" t="s">
        <v>32</v>
      </c>
      <c r="F25" s="2" t="s">
        <v>488</v>
      </c>
      <c r="G25" s="26" t="s">
        <v>197</v>
      </c>
      <c r="H25" s="26" t="s">
        <v>197</v>
      </c>
      <c r="I25" s="26"/>
    </row>
    <row r="26" spans="1:9" ht="16" customHeight="1" x14ac:dyDescent="0.25">
      <c r="A26" s="50">
        <v>22</v>
      </c>
      <c r="B26" s="8" t="str">
        <f>HYPERLINK("https://media.childrenshealthireland.ie/documents/dermatology-atopic-dermatitis-eczema-2022.pdf","Guidelines on the Nursing Management of Atopic Dermatitis (Eczema)")</f>
        <v>Guidelines on the Nursing Management of Atopic Dermatitis (Eczema)</v>
      </c>
      <c r="C26" s="26" t="s">
        <v>475</v>
      </c>
      <c r="D26" s="26" t="s">
        <v>31</v>
      </c>
      <c r="E26" s="26" t="s">
        <v>137</v>
      </c>
      <c r="F26" s="2" t="s">
        <v>489</v>
      </c>
      <c r="G26" s="26" t="s">
        <v>197</v>
      </c>
      <c r="H26" s="26" t="s">
        <v>197</v>
      </c>
      <c r="I26" s="26"/>
    </row>
  </sheetData>
  <autoFilter ref="A4:I4"/>
  <sortState ref="A5:I26">
    <sortCondition ref="D5:D26" customList="International,Regional,National"/>
    <sortCondition ref="E5:E26"/>
    <sortCondition ref="B5:B26"/>
  </sortState>
  <mergeCells count="2">
    <mergeCell ref="A2:I3"/>
    <mergeCell ref="A1:I1"/>
  </mergeCells>
  <hyperlinks>
    <hyperlink ref="F5" r:id="rId1"/>
    <hyperlink ref="F6" r:id="rId2"/>
    <hyperlink ref="F7" r:id="rId3"/>
    <hyperlink ref="F8" r:id="rId4"/>
    <hyperlink ref="F10" r:id="rId5"/>
    <hyperlink ref="F11" r:id="rId6"/>
    <hyperlink ref="F13" r:id="rId7"/>
    <hyperlink ref="F15" r:id="rId8"/>
    <hyperlink ref="F19" r:id="rId9"/>
    <hyperlink ref="F20" r:id="rId10"/>
    <hyperlink ref="F21" r:id="rId11"/>
    <hyperlink ref="F23" r:id="rId12"/>
    <hyperlink ref="F24" r:id="rId13"/>
    <hyperlink ref="F25" r:id="rId14"/>
    <hyperlink ref="F26" r:id="rId15"/>
    <hyperlink ref="F9" r:id="rId16"/>
    <hyperlink ref="F12" r:id="rId17"/>
    <hyperlink ref="F14" r:id="rId18"/>
    <hyperlink ref="F16" r:id="rId19"/>
    <hyperlink ref="F17" r:id="rId20"/>
    <hyperlink ref="F18" r:id="rId21"/>
    <hyperlink ref="F22" r:id="rId22"/>
  </hyperlinks>
  <pageMargins left="0.7" right="0.7" top="0.75" bottom="0.75" header="0" footer="0"/>
  <pageSetup orientation="landscape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H26"/>
  <sheetViews>
    <sheetView showGridLines="0" zoomScaleNormal="100" workbookViewId="0">
      <pane xSplit="2" ySplit="4" topLeftCell="C5" activePane="bottomRight" state="frozen"/>
      <selection activeCell="B4" sqref="B4"/>
      <selection pane="topRight" activeCell="B4" sqref="B4"/>
      <selection pane="bottomLeft" activeCell="B4" sqref="B4"/>
      <selection pane="bottomRight" activeCell="C5" sqref="C5"/>
    </sheetView>
  </sheetViews>
  <sheetFormatPr defaultColWidth="9"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1.1796875" customWidth="1"/>
    <col min="6" max="6" width="27" customWidth="1"/>
    <col min="7" max="7" width="17.54296875" customWidth="1"/>
    <col min="8" max="8" width="45.81640625" customWidth="1"/>
  </cols>
  <sheetData>
    <row r="1" spans="1:8" ht="25.4" customHeight="1" x14ac:dyDescent="0.25">
      <c r="A1" s="79" t="s">
        <v>4</v>
      </c>
      <c r="B1" s="79"/>
      <c r="C1" s="79"/>
      <c r="D1" s="79"/>
      <c r="E1" s="79"/>
      <c r="F1" s="79"/>
      <c r="G1" s="79"/>
      <c r="H1" s="79"/>
    </row>
    <row r="2" spans="1:8" ht="15" customHeight="1" x14ac:dyDescent="0.25">
      <c r="A2" s="77" t="s">
        <v>1</v>
      </c>
      <c r="B2" s="78"/>
      <c r="C2" s="78"/>
      <c r="D2" s="78"/>
      <c r="E2" s="78"/>
      <c r="F2" s="78"/>
      <c r="G2" s="78"/>
      <c r="H2" s="78"/>
    </row>
    <row r="3" spans="1:8" ht="15" customHeight="1" x14ac:dyDescent="0.25">
      <c r="A3" s="78"/>
      <c r="B3" s="78"/>
      <c r="C3" s="78"/>
      <c r="D3" s="78"/>
      <c r="E3" s="78"/>
      <c r="F3" s="78"/>
      <c r="G3" s="78"/>
      <c r="H3" s="78"/>
    </row>
    <row r="4" spans="1:8" ht="28.5" customHeight="1" x14ac:dyDescent="0.25">
      <c r="A4" s="1" t="s">
        <v>14</v>
      </c>
      <c r="B4" s="19" t="s">
        <v>21</v>
      </c>
      <c r="C4" s="1" t="s">
        <v>19</v>
      </c>
      <c r="D4" s="1" t="s">
        <v>20</v>
      </c>
      <c r="E4" s="19" t="s">
        <v>29</v>
      </c>
      <c r="F4" s="1" t="s">
        <v>16</v>
      </c>
      <c r="G4" s="27" t="s">
        <v>902</v>
      </c>
      <c r="H4" s="19" t="s">
        <v>3</v>
      </c>
    </row>
    <row r="5" spans="1:8" ht="16" customHeight="1" x14ac:dyDescent="0.25">
      <c r="A5" s="25">
        <v>1</v>
      </c>
      <c r="B5" s="2" t="str">
        <f>HYPERLINK("https://www.altogethereczema.org/","AltogetherEczema")</f>
        <v>AltogetherEczema</v>
      </c>
      <c r="C5" s="26" t="s">
        <v>30</v>
      </c>
      <c r="D5" s="26" t="s">
        <v>30</v>
      </c>
      <c r="E5" s="26"/>
      <c r="F5" s="2" t="s">
        <v>490</v>
      </c>
      <c r="G5" s="28" t="s">
        <v>197</v>
      </c>
      <c r="H5" s="26"/>
    </row>
    <row r="6" spans="1:8" ht="16" customHeight="1" x14ac:dyDescent="0.25">
      <c r="A6" s="25">
        <v>2</v>
      </c>
      <c r="B6" s="2" t="str">
        <f>HYPERLINK("https://www.parentsforeczemaresearch.com/","Global Parents for Eczema Research (GPER)")</f>
        <v>Global Parents for Eczema Research (GPER)</v>
      </c>
      <c r="C6" s="26" t="s">
        <v>30</v>
      </c>
      <c r="D6" s="26" t="s">
        <v>30</v>
      </c>
      <c r="E6" s="26" t="s">
        <v>130</v>
      </c>
      <c r="F6" s="2" t="s">
        <v>981</v>
      </c>
      <c r="G6" s="28" t="s">
        <v>978</v>
      </c>
      <c r="H6" s="26"/>
    </row>
    <row r="7" spans="1:8" ht="16" customHeight="1" x14ac:dyDescent="0.25">
      <c r="A7" s="25">
        <v>3</v>
      </c>
      <c r="B7" s="2" t="str">
        <f>HYPERLINK("https://www.improveeczemacare.com/","Global Patient Initiative to Improve Eczema Care (GPIIEC)")</f>
        <v>Global Patient Initiative to Improve Eczema Care (GPIIEC)</v>
      </c>
      <c r="C7" s="26" t="s">
        <v>30</v>
      </c>
      <c r="D7" s="26" t="s">
        <v>30</v>
      </c>
      <c r="E7" s="26"/>
      <c r="F7" s="2" t="s">
        <v>491</v>
      </c>
      <c r="G7" s="28" t="s">
        <v>197</v>
      </c>
      <c r="H7" s="26"/>
    </row>
    <row r="8" spans="1:8" ht="16" customHeight="1" x14ac:dyDescent="0.25">
      <c r="A8" s="25">
        <v>4</v>
      </c>
      <c r="B8" s="2" t="str">
        <f>HYPERLINK("https://globalskin.org/","International Alliance of Dermatology Patient Organizations (IADPO)")</f>
        <v>International Alliance of Dermatology Patient Organizations (IADPO)</v>
      </c>
      <c r="C8" s="26" t="s">
        <v>30</v>
      </c>
      <c r="D8" s="26" t="s">
        <v>30</v>
      </c>
      <c r="E8" s="26" t="s">
        <v>131</v>
      </c>
      <c r="F8" s="2" t="s">
        <v>492</v>
      </c>
      <c r="G8" s="28" t="s">
        <v>904</v>
      </c>
      <c r="H8" s="26"/>
    </row>
    <row r="9" spans="1:8" ht="16" customHeight="1" x14ac:dyDescent="0.25">
      <c r="A9" s="25">
        <v>5</v>
      </c>
      <c r="B9" s="2" t="str">
        <f>HYPERLINK("https://www.eczemacouncil.org/","International Eczema Council")</f>
        <v>International Eczema Council</v>
      </c>
      <c r="C9" s="26" t="s">
        <v>30</v>
      </c>
      <c r="D9" s="26" t="s">
        <v>30</v>
      </c>
      <c r="E9" s="26" t="s">
        <v>130</v>
      </c>
      <c r="F9" s="2" t="s">
        <v>493</v>
      </c>
      <c r="G9" s="28" t="s">
        <v>197</v>
      </c>
      <c r="H9" s="26"/>
    </row>
    <row r="10" spans="1:8" ht="16" customHeight="1" x14ac:dyDescent="0.25">
      <c r="A10" s="25">
        <v>6</v>
      </c>
      <c r="B10" s="2" t="str">
        <f>HYPERLINK("https://www.itsan.org/","International Topical Steroid Awareness Network (ITSAN)")</f>
        <v>International Topical Steroid Awareness Network (ITSAN)</v>
      </c>
      <c r="C10" s="26" t="s">
        <v>30</v>
      </c>
      <c r="D10" s="26" t="s">
        <v>30</v>
      </c>
      <c r="E10" s="26" t="s">
        <v>130</v>
      </c>
      <c r="F10" s="2" t="s">
        <v>494</v>
      </c>
      <c r="G10" s="28" t="s">
        <v>904</v>
      </c>
      <c r="H10" s="26"/>
    </row>
    <row r="11" spans="1:8" ht="16" customHeight="1" x14ac:dyDescent="0.25">
      <c r="A11" s="25">
        <v>7</v>
      </c>
      <c r="B11" s="2" t="str">
        <f>HYPERLINK("https://web.archive.org/web/20231003080323/http://www.euroskinresearch.org/j15/","European Skin Research Foundation (ESRF)")</f>
        <v>European Skin Research Foundation (ESRF)</v>
      </c>
      <c r="C11" s="26" t="s">
        <v>36</v>
      </c>
      <c r="D11" s="26" t="s">
        <v>37</v>
      </c>
      <c r="E11" s="26" t="s">
        <v>63</v>
      </c>
      <c r="F11" s="2" t="s">
        <v>731</v>
      </c>
      <c r="G11" s="28" t="s">
        <v>904</v>
      </c>
      <c r="H11" s="26"/>
    </row>
    <row r="12" spans="1:8" ht="16" customHeight="1" x14ac:dyDescent="0.25">
      <c r="A12" s="25">
        <v>8</v>
      </c>
      <c r="B12" s="2" t="str">
        <f>HYPERLINK("https://www.changingfaces.org.uk/","Changing Faces")</f>
        <v>Changing Faces</v>
      </c>
      <c r="C12" s="26" t="s">
        <v>31</v>
      </c>
      <c r="D12" s="26" t="s">
        <v>32</v>
      </c>
      <c r="E12" s="26" t="s">
        <v>32</v>
      </c>
      <c r="F12" s="2" t="s">
        <v>495</v>
      </c>
      <c r="G12" s="28" t="s">
        <v>904</v>
      </c>
      <c r="H12" s="26"/>
    </row>
    <row r="13" spans="1:8" ht="16" customHeight="1" x14ac:dyDescent="0.25">
      <c r="A13" s="25">
        <v>9</v>
      </c>
      <c r="B13" s="2" t="str">
        <f>HYPERLINK("https://www.skinawareness.org/","Skin Deep Behind the Mask")</f>
        <v>Skin Deep Behind the Mask</v>
      </c>
      <c r="C13" s="26" t="s">
        <v>31</v>
      </c>
      <c r="D13" s="26" t="s">
        <v>32</v>
      </c>
      <c r="E13" s="26" t="s">
        <v>32</v>
      </c>
      <c r="F13" s="2" t="s">
        <v>496</v>
      </c>
      <c r="G13" s="28" t="s">
        <v>904</v>
      </c>
      <c r="H13" s="26"/>
    </row>
    <row r="14" spans="1:8" ht="16" customHeight="1" x14ac:dyDescent="0.25">
      <c r="A14" s="25">
        <v>10</v>
      </c>
      <c r="B14" s="2" t="str">
        <f>HYPERLINK("https://web.archive.org/web/20220810201505/http://www.skinsupport.org.uk/about-us.html","Skin Support")</f>
        <v>Skin Support</v>
      </c>
      <c r="C14" s="26" t="s">
        <v>31</v>
      </c>
      <c r="D14" s="26" t="s">
        <v>32</v>
      </c>
      <c r="E14" s="26" t="s">
        <v>32</v>
      </c>
      <c r="F14" s="2" t="s">
        <v>732</v>
      </c>
      <c r="G14" s="28" t="s">
        <v>904</v>
      </c>
      <c r="H14" s="26"/>
    </row>
    <row r="15" spans="1:8" ht="16" customHeight="1" x14ac:dyDescent="0.25">
      <c r="A15" s="25">
        <v>11</v>
      </c>
      <c r="B15" s="2" t="str">
        <f>HYPERLINK("https://irishskin.ie/","Irish Skin Foundation")</f>
        <v>Irish Skin Foundation</v>
      </c>
      <c r="C15" s="26" t="s">
        <v>31</v>
      </c>
      <c r="D15" s="26" t="s">
        <v>137</v>
      </c>
      <c r="E15" s="26" t="s">
        <v>137</v>
      </c>
      <c r="F15" s="2" t="s">
        <v>497</v>
      </c>
      <c r="G15" s="28" t="s">
        <v>904</v>
      </c>
      <c r="H15" s="26"/>
    </row>
    <row r="16" spans="1:8" ht="16" customHeight="1" x14ac:dyDescent="0.25">
      <c r="A16" s="25">
        <v>12</v>
      </c>
      <c r="B16" s="2" t="str">
        <f>HYPERLINK("https://www.eos.org.uk/","Eczema Outreach Support")</f>
        <v>Eczema Outreach Support</v>
      </c>
      <c r="C16" s="26" t="s">
        <v>31</v>
      </c>
      <c r="D16" s="26" t="s">
        <v>33</v>
      </c>
      <c r="E16" s="26" t="s">
        <v>33</v>
      </c>
      <c r="F16" s="2" t="s">
        <v>979</v>
      </c>
      <c r="G16" s="28" t="s">
        <v>978</v>
      </c>
      <c r="H16" s="26"/>
    </row>
    <row r="17" spans="1:8" ht="16" customHeight="1" x14ac:dyDescent="0.25">
      <c r="A17" s="25">
        <v>13</v>
      </c>
      <c r="B17" s="2" t="str">
        <f>HYPERLINK("http://www.eczemascotland.org/","Eczema Scotland")</f>
        <v>Eczema Scotland</v>
      </c>
      <c r="C17" s="26" t="s">
        <v>31</v>
      </c>
      <c r="D17" s="26" t="s">
        <v>33</v>
      </c>
      <c r="E17" s="26" t="s">
        <v>33</v>
      </c>
      <c r="F17" s="2" t="s">
        <v>995</v>
      </c>
      <c r="G17" s="28" t="s">
        <v>197</v>
      </c>
      <c r="H17" s="26"/>
    </row>
    <row r="18" spans="1:8" ht="16" customHeight="1" x14ac:dyDescent="0.25">
      <c r="A18" s="25">
        <v>14</v>
      </c>
      <c r="B18" s="2" t="str">
        <f>HYPERLINK("http://www.skinconditionscampaignscotland.org/","Skin Conditions Campaign Scotland")</f>
        <v>Skin Conditions Campaign Scotland</v>
      </c>
      <c r="C18" s="26" t="s">
        <v>31</v>
      </c>
      <c r="D18" s="26" t="s">
        <v>33</v>
      </c>
      <c r="E18" s="26" t="s">
        <v>33</v>
      </c>
      <c r="F18" s="2" t="s">
        <v>994</v>
      </c>
      <c r="G18" s="28" t="s">
        <v>904</v>
      </c>
      <c r="H18" s="26"/>
    </row>
    <row r="19" spans="1:8" ht="16" customHeight="1" x14ac:dyDescent="0.25">
      <c r="A19" s="25">
        <v>15</v>
      </c>
      <c r="B19" s="2" t="str">
        <f>HYPERLINK("https://www.allergyuk.org/","Allergy UK")</f>
        <v>Allergy UK</v>
      </c>
      <c r="C19" s="26" t="s">
        <v>31</v>
      </c>
      <c r="D19" s="26" t="s">
        <v>35</v>
      </c>
      <c r="E19" s="26" t="s">
        <v>32</v>
      </c>
      <c r="F19" s="2" t="s">
        <v>993</v>
      </c>
      <c r="G19" s="28" t="s">
        <v>903</v>
      </c>
      <c r="H19" s="26"/>
    </row>
    <row r="20" spans="1:8" ht="16" customHeight="1" x14ac:dyDescent="0.25">
      <c r="A20" s="25">
        <v>16</v>
      </c>
      <c r="B20" s="2" t="str">
        <f>HYPERLINK("https://www.britishskinfoundation.org.uk/","British Skin Foundation")</f>
        <v>British Skin Foundation</v>
      </c>
      <c r="C20" s="26" t="s">
        <v>31</v>
      </c>
      <c r="D20" s="26" t="s">
        <v>35</v>
      </c>
      <c r="E20" s="26" t="s">
        <v>32</v>
      </c>
      <c r="F20" s="2" t="s">
        <v>498</v>
      </c>
      <c r="G20" s="28" t="s">
        <v>904</v>
      </c>
      <c r="H20" s="26"/>
    </row>
    <row r="21" spans="1:8" ht="16" customHeight="1" x14ac:dyDescent="0.25">
      <c r="A21" s="25">
        <v>17</v>
      </c>
      <c r="B21" s="2" t="str">
        <f>HYPERLINK("https://www.eczemacareonline.org.uk/en/intro","Eczema Care Online")</f>
        <v>Eczema Care Online</v>
      </c>
      <c r="C21" s="26" t="s">
        <v>31</v>
      </c>
      <c r="D21" s="26" t="s">
        <v>35</v>
      </c>
      <c r="E21" s="26"/>
      <c r="F21" s="2" t="s">
        <v>499</v>
      </c>
      <c r="G21" s="28" t="s">
        <v>197</v>
      </c>
      <c r="H21" s="26"/>
    </row>
    <row r="22" spans="1:8" ht="16" customHeight="1" x14ac:dyDescent="0.25">
      <c r="A22" s="25">
        <v>18</v>
      </c>
      <c r="B22" s="2" t="str">
        <f>HYPERLINK("https://eczema.org/","National Eczema Society")</f>
        <v>National Eczema Society</v>
      </c>
      <c r="C22" s="26" t="s">
        <v>31</v>
      </c>
      <c r="D22" s="26" t="s">
        <v>35</v>
      </c>
      <c r="E22" s="26" t="s">
        <v>32</v>
      </c>
      <c r="F22" s="2" t="s">
        <v>500</v>
      </c>
      <c r="G22" s="28" t="s">
        <v>197</v>
      </c>
      <c r="H22" s="26"/>
    </row>
    <row r="23" spans="1:8" ht="16" customHeight="1" x14ac:dyDescent="0.25">
      <c r="A23" s="25">
        <v>19</v>
      </c>
      <c r="B23" s="2" t="str">
        <f>HYPERLINK("http://www.nottinghameczema.org.uk/","Nottingham Support Group for Carers of Children with Eczema")</f>
        <v>Nottingham Support Group for Carers of Children with Eczema</v>
      </c>
      <c r="C23" s="26" t="s">
        <v>31</v>
      </c>
      <c r="D23" s="26" t="s">
        <v>35</v>
      </c>
      <c r="E23" s="26" t="s">
        <v>32</v>
      </c>
      <c r="F23" s="2" t="s">
        <v>980</v>
      </c>
      <c r="G23" s="28" t="s">
        <v>978</v>
      </c>
      <c r="H23" s="26"/>
    </row>
    <row r="24" spans="1:8" ht="16" customHeight="1" x14ac:dyDescent="0.25">
      <c r="A24" s="25">
        <v>20</v>
      </c>
      <c r="B24" s="2" t="str">
        <f>HYPERLINK("https://patient.info/","Patient")</f>
        <v>Patient</v>
      </c>
      <c r="C24" s="26" t="s">
        <v>31</v>
      </c>
      <c r="D24" s="26" t="s">
        <v>35</v>
      </c>
      <c r="E24" s="26" t="s">
        <v>35</v>
      </c>
      <c r="F24" s="2" t="s">
        <v>133</v>
      </c>
      <c r="G24" s="28" t="s">
        <v>903</v>
      </c>
      <c r="H24" s="26"/>
    </row>
    <row r="25" spans="1:8" ht="16" customHeight="1" x14ac:dyDescent="0.25">
      <c r="A25" s="25">
        <v>21</v>
      </c>
      <c r="B25" s="2" t="str">
        <f>HYPERLINK("https://scratchthat.org.uk/","Scratch That")</f>
        <v>Scratch That</v>
      </c>
      <c r="C25" s="26" t="s">
        <v>31</v>
      </c>
      <c r="D25" s="26" t="s">
        <v>35</v>
      </c>
      <c r="E25" s="26"/>
      <c r="F25" s="2" t="s">
        <v>501</v>
      </c>
      <c r="G25" s="28" t="s">
        <v>904</v>
      </c>
      <c r="H25" s="26"/>
    </row>
    <row r="26" spans="1:8" ht="16" customHeight="1" x14ac:dyDescent="0.25">
      <c r="A26" s="25">
        <v>22</v>
      </c>
      <c r="B26" s="2" t="str">
        <f>HYPERLINK("http://skincarecymru.wales/","Skin Care Cymru")</f>
        <v>Skin Care Cymru</v>
      </c>
      <c r="C26" s="26" t="s">
        <v>31</v>
      </c>
      <c r="D26" s="26" t="s">
        <v>69</v>
      </c>
      <c r="E26" s="26" t="s">
        <v>69</v>
      </c>
      <c r="F26" s="2" t="s">
        <v>502</v>
      </c>
      <c r="G26" s="28" t="s">
        <v>904</v>
      </c>
      <c r="H26" s="26"/>
    </row>
  </sheetData>
  <autoFilter ref="A4:H4"/>
  <sortState ref="A5:H26">
    <sortCondition ref="C5:C26" customList="International,Regional,National"/>
    <sortCondition ref="D5:D26"/>
    <sortCondition ref="B5:B26"/>
  </sortState>
  <mergeCells count="2">
    <mergeCell ref="A2:H3"/>
    <mergeCell ref="A1:H1"/>
  </mergeCells>
  <hyperlinks>
    <hyperlink ref="F5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20" r:id="rId11"/>
    <hyperlink ref="F21" r:id="rId12"/>
    <hyperlink ref="F22" r:id="rId13"/>
    <hyperlink ref="F24" r:id="rId14"/>
    <hyperlink ref="F25" r:id="rId15"/>
    <hyperlink ref="F26" r:id="rId16"/>
    <hyperlink ref="F16" r:id="rId17"/>
    <hyperlink ref="F23" r:id="rId18"/>
    <hyperlink ref="F6" r:id="rId19"/>
    <hyperlink ref="F19" r:id="rId20"/>
    <hyperlink ref="F18" r:id="rId21"/>
    <hyperlink ref="F17" r:id="rId22"/>
  </hyperlinks>
  <pageMargins left="0.7" right="0.7" top="0.75" bottom="0.75" header="0" footer="0"/>
  <pageSetup orientation="landscape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H60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1.1796875" customWidth="1"/>
    <col min="6" max="7" width="27" customWidth="1"/>
    <col min="8" max="8" width="45.81640625" customWidth="1"/>
  </cols>
  <sheetData>
    <row r="1" spans="1:8" ht="24.75" customHeight="1" x14ac:dyDescent="0.25">
      <c r="A1" s="80" t="s">
        <v>4</v>
      </c>
      <c r="B1" s="80"/>
      <c r="C1" s="80"/>
      <c r="D1" s="80"/>
      <c r="E1" s="80"/>
      <c r="F1" s="80"/>
      <c r="G1" s="80"/>
      <c r="H1" s="80"/>
    </row>
    <row r="2" spans="1:8" ht="15" customHeight="1" x14ac:dyDescent="0.25">
      <c r="A2" s="77" t="s">
        <v>1</v>
      </c>
      <c r="B2" s="77"/>
      <c r="C2" s="77"/>
      <c r="D2" s="77"/>
      <c r="E2" s="77"/>
      <c r="F2" s="77"/>
      <c r="G2" s="77"/>
      <c r="H2" s="77"/>
    </row>
    <row r="3" spans="1:8" ht="15" customHeight="1" x14ac:dyDescent="0.25">
      <c r="A3" s="77"/>
      <c r="B3" s="77"/>
      <c r="C3" s="77"/>
      <c r="D3" s="77"/>
      <c r="E3" s="77"/>
      <c r="F3" s="77"/>
      <c r="G3" s="77"/>
      <c r="H3" s="77"/>
    </row>
    <row r="4" spans="1:8" ht="28.5" customHeight="1" x14ac:dyDescent="0.25">
      <c r="A4" s="36" t="s">
        <v>14</v>
      </c>
      <c r="B4" s="49" t="s">
        <v>22</v>
      </c>
      <c r="C4" s="36" t="s">
        <v>19</v>
      </c>
      <c r="D4" s="36" t="s">
        <v>20</v>
      </c>
      <c r="E4" s="49" t="s">
        <v>29</v>
      </c>
      <c r="F4" s="36" t="s">
        <v>16</v>
      </c>
      <c r="G4" s="36" t="s">
        <v>902</v>
      </c>
      <c r="H4" s="49" t="s">
        <v>3</v>
      </c>
    </row>
    <row r="5" spans="1:8" ht="16" customHeight="1" x14ac:dyDescent="0.25">
      <c r="A5" s="25">
        <v>1</v>
      </c>
      <c r="B5" s="8" t="str">
        <f>HYPERLINK("https://www.dnanurse.org/","Dermatology Nurses’ Association (DNA)")</f>
        <v>Dermatology Nurses’ Association (DNA)</v>
      </c>
      <c r="C5" s="26" t="s">
        <v>30</v>
      </c>
      <c r="D5" s="26" t="s">
        <v>30</v>
      </c>
      <c r="E5" s="26" t="s">
        <v>130</v>
      </c>
      <c r="F5" s="2" t="s">
        <v>503</v>
      </c>
      <c r="G5" s="26" t="s">
        <v>904</v>
      </c>
      <c r="H5" s="26"/>
    </row>
    <row r="6" spans="1:8" ht="16" customHeight="1" x14ac:dyDescent="0.25">
      <c r="A6" s="25">
        <v>2</v>
      </c>
      <c r="B6" s="8" t="str">
        <f>HYPERLINK("https://www.atopicdermatitisatlas.org/en/","Global Atopic Dermatitis Atlas (GADA)")</f>
        <v>Global Atopic Dermatitis Atlas (GADA)</v>
      </c>
      <c r="C6" s="26" t="s">
        <v>30</v>
      </c>
      <c r="D6" s="26" t="s">
        <v>30</v>
      </c>
      <c r="E6" s="26"/>
      <c r="F6" s="2" t="s">
        <v>733</v>
      </c>
      <c r="G6" s="26" t="s">
        <v>197</v>
      </c>
      <c r="H6" s="26"/>
    </row>
    <row r="7" spans="1:8" ht="16" customHeight="1" x14ac:dyDescent="0.25">
      <c r="A7" s="25">
        <v>3</v>
      </c>
      <c r="B7" s="8" t="str">
        <f>HYPERLINK("http://www.homeforeczema.org/index.aspx","Harmonising Outcome Measures for Eczema (HOME)")</f>
        <v>Harmonising Outcome Measures for Eczema (HOME)</v>
      </c>
      <c r="C7" s="26" t="s">
        <v>30</v>
      </c>
      <c r="D7" s="26" t="s">
        <v>30</v>
      </c>
      <c r="E7" s="26" t="s">
        <v>32</v>
      </c>
      <c r="F7" s="2" t="s">
        <v>504</v>
      </c>
      <c r="G7" s="26" t="s">
        <v>197</v>
      </c>
      <c r="H7" s="26"/>
    </row>
    <row r="8" spans="1:8" ht="16" customHeight="1" x14ac:dyDescent="0.25">
      <c r="A8" s="25">
        <v>4</v>
      </c>
      <c r="B8" s="8" t="str">
        <f>HYPERLINK("https://www.gloderm.org/","International Alliance for Global Health Dermatology")</f>
        <v>International Alliance for Global Health Dermatology</v>
      </c>
      <c r="C8" s="26" t="s">
        <v>30</v>
      </c>
      <c r="D8" s="26" t="s">
        <v>30</v>
      </c>
      <c r="E8" s="26"/>
      <c r="F8" s="2" t="s">
        <v>735</v>
      </c>
      <c r="G8" s="26" t="s">
        <v>904</v>
      </c>
      <c r="H8" s="26"/>
    </row>
    <row r="9" spans="1:8" ht="16" customHeight="1" x14ac:dyDescent="0.25">
      <c r="A9" s="25">
        <v>5</v>
      </c>
      <c r="B9" s="2" t="str">
        <f>HYPERLINK("http://www.icdermpath.org/","International Committee for Dermatopathology (ICDP)")</f>
        <v>International Committee for Dermatopathology (ICDP)</v>
      </c>
      <c r="C9" s="26" t="s">
        <v>30</v>
      </c>
      <c r="D9" s="26" t="s">
        <v>30</v>
      </c>
      <c r="E9" s="26" t="s">
        <v>63</v>
      </c>
      <c r="F9" s="2" t="s">
        <v>1336</v>
      </c>
      <c r="G9" s="26" t="s">
        <v>904</v>
      </c>
      <c r="H9" s="26"/>
    </row>
    <row r="10" spans="1:8" ht="16" customHeight="1" x14ac:dyDescent="0.25">
      <c r="A10" s="25">
        <v>6</v>
      </c>
      <c r="B10" s="8" t="str">
        <f>HYPERLINK("https://www.icdrg.org/","International Contact Dermatitis Research Group (ICDRG)")</f>
        <v>International Contact Dermatitis Research Group (ICDRG)</v>
      </c>
      <c r="C10" s="26" t="s">
        <v>30</v>
      </c>
      <c r="D10" s="26" t="s">
        <v>30</v>
      </c>
      <c r="E10" s="26" t="s">
        <v>129</v>
      </c>
      <c r="F10" s="2" t="s">
        <v>505</v>
      </c>
      <c r="G10" s="26" t="s">
        <v>197</v>
      </c>
      <c r="H10" s="26"/>
    </row>
    <row r="11" spans="1:8" ht="16" customHeight="1" x14ac:dyDescent="0.25">
      <c r="A11" s="25">
        <v>7</v>
      </c>
      <c r="B11" s="8" t="str">
        <f>HYPERLINK("https://dermoscopy-ids.org/","International Dermoscopy Society (IDS)")</f>
        <v>International Dermoscopy Society (IDS)</v>
      </c>
      <c r="C11" s="26" t="s">
        <v>30</v>
      </c>
      <c r="D11" s="26" t="s">
        <v>30</v>
      </c>
      <c r="E11" s="26" t="s">
        <v>132</v>
      </c>
      <c r="F11" s="2" t="s">
        <v>506</v>
      </c>
      <c r="G11" s="26" t="s">
        <v>904</v>
      </c>
      <c r="H11" s="26"/>
    </row>
    <row r="12" spans="1:8" ht="16" customHeight="1" x14ac:dyDescent="0.25">
      <c r="A12" s="25">
        <v>8</v>
      </c>
      <c r="B12" s="8" t="str">
        <f>HYPERLINK("https://ilds.org/","International League of Dermatological Societies (ILDS)")</f>
        <v>International League of Dermatological Societies (ILDS)</v>
      </c>
      <c r="C12" s="26" t="s">
        <v>30</v>
      </c>
      <c r="D12" s="26" t="s">
        <v>30</v>
      </c>
      <c r="E12" s="26" t="s">
        <v>32</v>
      </c>
      <c r="F12" s="2" t="s">
        <v>507</v>
      </c>
      <c r="G12" s="26" t="s">
        <v>904</v>
      </c>
      <c r="H12" s="26"/>
    </row>
    <row r="13" spans="1:8" ht="16" customHeight="1" x14ac:dyDescent="0.25">
      <c r="A13" s="25">
        <v>9</v>
      </c>
      <c r="B13" s="8" t="str">
        <f>HYPERLINK("https://www.isdsworld.com/","International Society for Dermatologic Surgery")</f>
        <v>International Society for Dermatologic Surgery</v>
      </c>
      <c r="C13" s="26" t="s">
        <v>30</v>
      </c>
      <c r="D13" s="26" t="s">
        <v>30</v>
      </c>
      <c r="E13" s="26" t="s">
        <v>508</v>
      </c>
      <c r="F13" s="2" t="s">
        <v>509</v>
      </c>
      <c r="G13" s="26" t="s">
        <v>904</v>
      </c>
      <c r="H13" s="26"/>
    </row>
    <row r="14" spans="1:8" ht="16" customHeight="1" x14ac:dyDescent="0.25">
      <c r="A14" s="25">
        <v>10</v>
      </c>
      <c r="B14" s="8" t="str">
        <f>HYPERLINK("https://isdis.org/","International Society for Digital Imaging of the Skin")</f>
        <v>International Society for Digital Imaging of the Skin</v>
      </c>
      <c r="C14" s="26" t="s">
        <v>30</v>
      </c>
      <c r="D14" s="26" t="s">
        <v>30</v>
      </c>
      <c r="E14" s="26" t="s">
        <v>130</v>
      </c>
      <c r="F14" s="2" t="s">
        <v>510</v>
      </c>
      <c r="G14" s="26" t="s">
        <v>904</v>
      </c>
      <c r="H14" s="26"/>
    </row>
    <row r="15" spans="1:8" ht="16" customHeight="1" x14ac:dyDescent="0.25">
      <c r="A15" s="25">
        <v>11</v>
      </c>
      <c r="B15" s="8" t="str">
        <f>HYPERLINK("https://www.isadsociety.org/","International Society of Atopic Dermatitis (ISAD)")</f>
        <v>International Society of Atopic Dermatitis (ISAD)</v>
      </c>
      <c r="C15" s="26" t="s">
        <v>30</v>
      </c>
      <c r="D15" s="26" t="s">
        <v>30</v>
      </c>
      <c r="E15" s="26" t="s">
        <v>63</v>
      </c>
      <c r="F15" s="2" t="s">
        <v>511</v>
      </c>
      <c r="G15" s="26" t="s">
        <v>197</v>
      </c>
      <c r="H15" s="26"/>
    </row>
    <row r="16" spans="1:8" ht="16" customHeight="1" x14ac:dyDescent="0.25">
      <c r="A16" s="25">
        <v>12</v>
      </c>
      <c r="B16" s="8" t="str">
        <f>HYPERLINK("https://www.intsocderm.org/","International Society of Dermatology")</f>
        <v>International Society of Dermatology</v>
      </c>
      <c r="C16" s="26" t="s">
        <v>30</v>
      </c>
      <c r="D16" s="26" t="s">
        <v>30</v>
      </c>
      <c r="E16" s="26" t="s">
        <v>130</v>
      </c>
      <c r="F16" s="2" t="s">
        <v>512</v>
      </c>
      <c r="G16" s="26" t="s">
        <v>904</v>
      </c>
      <c r="H16" s="26"/>
    </row>
    <row r="17" spans="1:8" ht="16" customHeight="1" x14ac:dyDescent="0.25">
      <c r="A17" s="25">
        <v>13</v>
      </c>
      <c r="B17" s="8" t="str">
        <f>HYPERLINK("https://www.intsocdermpath.org/","International Society of Dermatopathology (ISDP)")</f>
        <v>International Society of Dermatopathology (ISDP)</v>
      </c>
      <c r="C17" s="26" t="s">
        <v>30</v>
      </c>
      <c r="D17" s="26" t="s">
        <v>30</v>
      </c>
      <c r="E17" s="26" t="s">
        <v>130</v>
      </c>
      <c r="F17" s="2" t="s">
        <v>513</v>
      </c>
      <c r="G17" s="26" t="s">
        <v>904</v>
      </c>
      <c r="H17" s="26"/>
    </row>
    <row r="18" spans="1:8" ht="16" customHeight="1" x14ac:dyDescent="0.25">
      <c r="A18" s="25">
        <v>14</v>
      </c>
      <c r="B18" s="8" t="str">
        <f>HYPERLINK("https://www.ispedderm.com/","International Society of Pediatric Dermatology (ISPD)")</f>
        <v>International Society of Pediatric Dermatology (ISPD)</v>
      </c>
      <c r="C18" s="26" t="s">
        <v>30</v>
      </c>
      <c r="D18" s="26" t="s">
        <v>30</v>
      </c>
      <c r="E18" s="26" t="s">
        <v>982</v>
      </c>
      <c r="F18" s="2" t="s">
        <v>983</v>
      </c>
      <c r="G18" s="26" t="s">
        <v>911</v>
      </c>
      <c r="H18" s="26"/>
    </row>
    <row r="19" spans="1:8" ht="16" customHeight="1" x14ac:dyDescent="0.25">
      <c r="A19" s="25">
        <v>15</v>
      </c>
      <c r="B19" s="8" t="str">
        <f>HYPERLINK("http://www.telemedicine.org/","Internet Dermatology Society")</f>
        <v>Internet Dermatology Society</v>
      </c>
      <c r="C19" s="26" t="s">
        <v>30</v>
      </c>
      <c r="D19" s="26" t="s">
        <v>30</v>
      </c>
      <c r="E19" s="26"/>
      <c r="F19" s="2" t="s">
        <v>514</v>
      </c>
      <c r="G19" s="26" t="s">
        <v>904</v>
      </c>
      <c r="H19" s="26"/>
    </row>
    <row r="20" spans="1:8" ht="16" customHeight="1" x14ac:dyDescent="0.25">
      <c r="A20" s="25">
        <v>16</v>
      </c>
      <c r="B20" s="8" t="str">
        <f>HYPERLINK("https://www.spindermatology.org/","Skin Inflammation &amp; Psoriasis International Network (SPIN)")</f>
        <v>Skin Inflammation &amp; Psoriasis International Network (SPIN)</v>
      </c>
      <c r="C20" s="26" t="s">
        <v>30</v>
      </c>
      <c r="D20" s="26" t="s">
        <v>30</v>
      </c>
      <c r="E20" s="26" t="s">
        <v>66</v>
      </c>
      <c r="F20" s="2" t="s">
        <v>515</v>
      </c>
      <c r="G20" s="26" t="s">
        <v>906</v>
      </c>
      <c r="H20" s="26"/>
    </row>
    <row r="21" spans="1:8" ht="16" customHeight="1" x14ac:dyDescent="0.25">
      <c r="A21" s="25">
        <v>17</v>
      </c>
      <c r="B21" s="8" t="str">
        <f>HYPERLINK("https://www.eadv.org//","European Academy of Dermatology and Venereology (EADV)")</f>
        <v>European Academy of Dermatology and Venereology (EADV)</v>
      </c>
      <c r="C21" s="26" t="s">
        <v>36</v>
      </c>
      <c r="D21" s="26" t="s">
        <v>37</v>
      </c>
      <c r="E21" s="26" t="s">
        <v>63</v>
      </c>
      <c r="F21" s="2" t="s">
        <v>516</v>
      </c>
      <c r="G21" s="26" t="s">
        <v>904</v>
      </c>
      <c r="H21" s="26"/>
    </row>
    <row r="22" spans="1:8" ht="16" customHeight="1" x14ac:dyDescent="0.25">
      <c r="A22" s="25">
        <v>18</v>
      </c>
      <c r="B22" s="8" t="str">
        <f>HYPERLINK("https://www.uems-ebdv.org/web/","European Board of Dermato-Venereology")</f>
        <v>European Board of Dermato-Venereology</v>
      </c>
      <c r="C22" s="26" t="s">
        <v>36</v>
      </c>
      <c r="D22" s="26" t="s">
        <v>37</v>
      </c>
      <c r="E22" s="26" t="s">
        <v>65</v>
      </c>
      <c r="F22" s="2" t="s">
        <v>557</v>
      </c>
      <c r="G22" s="26" t="s">
        <v>904</v>
      </c>
      <c r="H22" s="26"/>
    </row>
    <row r="23" spans="1:8" ht="16" customHeight="1" x14ac:dyDescent="0.25">
      <c r="A23" s="25">
        <v>19</v>
      </c>
      <c r="B23" s="8" t="str">
        <f>HYPERLINK("https://www.dermepi.eu/","European Dermato-Epidemiology Network (EDEN)")</f>
        <v>European Dermato-Epidemiology Network (EDEN)</v>
      </c>
      <c r="C23" s="26" t="s">
        <v>36</v>
      </c>
      <c r="D23" s="26" t="s">
        <v>37</v>
      </c>
      <c r="E23" s="26" t="s">
        <v>35</v>
      </c>
      <c r="F23" s="2" t="s">
        <v>517</v>
      </c>
      <c r="G23" s="26" t="s">
        <v>904</v>
      </c>
      <c r="H23" s="26"/>
    </row>
    <row r="24" spans="1:8" ht="16" customHeight="1" x14ac:dyDescent="0.25">
      <c r="A24" s="25">
        <v>20</v>
      </c>
      <c r="B24" s="8" t="str">
        <f>HYPERLINK("https://www.edf.one/en/","European Dermatology Forum (EDF)")</f>
        <v>European Dermatology Forum (EDF)</v>
      </c>
      <c r="C24" s="26" t="s">
        <v>36</v>
      </c>
      <c r="D24" s="26" t="s">
        <v>37</v>
      </c>
      <c r="E24" s="26" t="s">
        <v>63</v>
      </c>
      <c r="F24" s="2" t="s">
        <v>518</v>
      </c>
      <c r="G24" s="26" t="s">
        <v>904</v>
      </c>
      <c r="H24" s="26"/>
    </row>
    <row r="25" spans="1:8" ht="16" customHeight="1" x14ac:dyDescent="0.25">
      <c r="A25" s="25">
        <v>21</v>
      </c>
      <c r="B25" s="8" t="str">
        <f>HYPERLINK("https://www.eecdrg.org/","European Environmental Contact Dermatitis Research Group (EECDRG)")</f>
        <v>European Environmental Contact Dermatitis Research Group (EECDRG)</v>
      </c>
      <c r="C25" s="26" t="s">
        <v>36</v>
      </c>
      <c r="D25" s="26" t="s">
        <v>37</v>
      </c>
      <c r="E25" s="26" t="s">
        <v>35</v>
      </c>
      <c r="F25" s="2" t="s">
        <v>519</v>
      </c>
      <c r="G25" s="26" t="s">
        <v>197</v>
      </c>
      <c r="H25" s="26"/>
    </row>
    <row r="26" spans="1:8" ht="16" customHeight="1" x14ac:dyDescent="0.25">
      <c r="A26" s="25">
        <v>22</v>
      </c>
      <c r="B26" s="8" t="str">
        <f>HYPERLINK("https://ern-skin.eu/","European Reference Networks - Skin")</f>
        <v>European Reference Networks - Skin</v>
      </c>
      <c r="C26" s="26" t="s">
        <v>36</v>
      </c>
      <c r="D26" s="26" t="s">
        <v>37</v>
      </c>
      <c r="E26" s="26"/>
      <c r="F26" s="2" t="s">
        <v>736</v>
      </c>
      <c r="G26" s="26" t="s">
        <v>904</v>
      </c>
      <c r="H26" s="26"/>
    </row>
    <row r="27" spans="1:8" ht="16" customHeight="1" x14ac:dyDescent="0.25">
      <c r="A27" s="25">
        <v>23</v>
      </c>
      <c r="B27" s="8" t="str">
        <f>HYPERLINK("https://esdr.org/","European Society for Dermatological Research (ESDR)")</f>
        <v>European Society for Dermatological Research (ESDR)</v>
      </c>
      <c r="C27" s="26" t="s">
        <v>36</v>
      </c>
      <c r="D27" s="26" t="s">
        <v>37</v>
      </c>
      <c r="E27" s="26" t="s">
        <v>63</v>
      </c>
      <c r="F27" s="2" t="s">
        <v>520</v>
      </c>
      <c r="G27" s="26" t="s">
        <v>904</v>
      </c>
      <c r="H27" s="26"/>
    </row>
    <row r="28" spans="1:8" ht="16" customHeight="1" x14ac:dyDescent="0.25">
      <c r="A28" s="25">
        <v>24</v>
      </c>
      <c r="B28" s="8" t="str">
        <f>HYPERLINK("https://www.psychodermatology.net/","European Society for Dermatology and Psychiatry (ESDaP)")</f>
        <v>European Society for Dermatology and Psychiatry (ESDaP)</v>
      </c>
      <c r="C28" s="26" t="s">
        <v>36</v>
      </c>
      <c r="D28" s="26" t="s">
        <v>37</v>
      </c>
      <c r="E28" s="26" t="s">
        <v>132</v>
      </c>
      <c r="F28" s="2" t="s">
        <v>521</v>
      </c>
      <c r="G28" s="26" t="s">
        <v>904</v>
      </c>
      <c r="H28" s="26"/>
    </row>
    <row r="29" spans="1:8" ht="16" customHeight="1" x14ac:dyDescent="0.25">
      <c r="A29" s="25">
        <v>25</v>
      </c>
      <c r="B29" s="8" t="str">
        <f>HYPERLINK("https://www.espd.info/","European Society for Pediatric Dermatology (ESPD)")</f>
        <v>European Society for Pediatric Dermatology (ESPD)</v>
      </c>
      <c r="C29" s="26" t="s">
        <v>36</v>
      </c>
      <c r="D29" s="26" t="s">
        <v>37</v>
      </c>
      <c r="E29" s="26" t="s">
        <v>984</v>
      </c>
      <c r="F29" s="2" t="s">
        <v>985</v>
      </c>
      <c r="G29" s="26" t="s">
        <v>911</v>
      </c>
      <c r="H29" s="26"/>
    </row>
    <row r="30" spans="1:8" ht="16" customHeight="1" x14ac:dyDescent="0.25">
      <c r="A30" s="25">
        <v>26</v>
      </c>
      <c r="B30" s="8" t="str">
        <f>HYPERLINK("https://escd.org/","European Society of Contact Dermatitis (ESCD)")</f>
        <v>European Society of Contact Dermatitis (ESCD)</v>
      </c>
      <c r="C30" s="26" t="s">
        <v>36</v>
      </c>
      <c r="D30" s="26" t="s">
        <v>37</v>
      </c>
      <c r="E30" s="26" t="s">
        <v>508</v>
      </c>
      <c r="F30" s="2" t="s">
        <v>522</v>
      </c>
      <c r="G30" s="26" t="s">
        <v>197</v>
      </c>
      <c r="H30" s="26"/>
    </row>
    <row r="31" spans="1:8" ht="16" customHeight="1" x14ac:dyDescent="0.25">
      <c r="A31" s="25">
        <v>27</v>
      </c>
      <c r="B31" s="8" t="str">
        <f>HYPERLINK("https://www.essca-dc.org/","European Surveillance System on Contact Allergies - Data Centre")</f>
        <v>European Surveillance System on Contact Allergies - Data Centre</v>
      </c>
      <c r="C31" s="26" t="s">
        <v>36</v>
      </c>
      <c r="D31" s="26" t="s">
        <v>37</v>
      </c>
      <c r="E31" s="26" t="s">
        <v>508</v>
      </c>
      <c r="F31" s="2" t="s">
        <v>523</v>
      </c>
      <c r="G31" s="26" t="s">
        <v>904</v>
      </c>
      <c r="H31" s="26"/>
    </row>
    <row r="32" spans="1:8" ht="16" customHeight="1" x14ac:dyDescent="0.25">
      <c r="A32" s="25">
        <v>28</v>
      </c>
      <c r="B32" s="8" t="str">
        <f>HYPERLINK("https://web.archive.org/web/20220926003601/http://ewdvs.com/","European Women Dermatological and Venereological Society (EWDVS)")</f>
        <v>European Women Dermatological and Venereological Society (EWDVS)</v>
      </c>
      <c r="C32" s="26" t="s">
        <v>36</v>
      </c>
      <c r="D32" s="26" t="s">
        <v>37</v>
      </c>
      <c r="E32" s="26" t="s">
        <v>524</v>
      </c>
      <c r="F32" s="2" t="s">
        <v>737</v>
      </c>
      <c r="G32" s="26" t="s">
        <v>904</v>
      </c>
      <c r="H32" s="26"/>
    </row>
    <row r="33" spans="1:8" ht="16" customHeight="1" x14ac:dyDescent="0.25">
      <c r="A33" s="25">
        <v>29</v>
      </c>
      <c r="B33" s="8" t="str">
        <f>HYPERLINK("https://www.pcdsi.com/","Primary Care Dermatological Society Ireland")</f>
        <v>Primary Care Dermatological Society Ireland</v>
      </c>
      <c r="C33" s="26" t="s">
        <v>31</v>
      </c>
      <c r="D33" s="26" t="s">
        <v>137</v>
      </c>
      <c r="E33" s="26" t="s">
        <v>137</v>
      </c>
      <c r="F33" s="2" t="s">
        <v>739</v>
      </c>
      <c r="G33" s="26" t="s">
        <v>904</v>
      </c>
      <c r="H33" s="26"/>
    </row>
    <row r="34" spans="1:8" ht="16" customHeight="1" x14ac:dyDescent="0.25">
      <c r="A34" s="25">
        <v>30</v>
      </c>
      <c r="B34" s="8" t="str">
        <f>HYPERLINK("https://www.irishdermatologists.ie/","Irish Association of Dermatologists (IAD)")</f>
        <v>Irish Association of Dermatologists (IAD)</v>
      </c>
      <c r="C34" s="26" t="s">
        <v>31</v>
      </c>
      <c r="D34" s="26" t="s">
        <v>137</v>
      </c>
      <c r="E34" s="26" t="s">
        <v>137</v>
      </c>
      <c r="F34" s="2" t="s">
        <v>525</v>
      </c>
      <c r="G34" s="26" t="s">
        <v>904</v>
      </c>
      <c r="H34" s="26"/>
    </row>
    <row r="35" spans="1:8" ht="16" customHeight="1" x14ac:dyDescent="0.25">
      <c r="A35" s="25">
        <v>31</v>
      </c>
      <c r="B35" s="8" t="str">
        <f>HYPERLINK("https://web.archive.org/web/20220930052340/http://www.irishdermatologynurses.ie/","Irish Dermatology Nurses Association")</f>
        <v>Irish Dermatology Nurses Association</v>
      </c>
      <c r="C35" s="26" t="s">
        <v>31</v>
      </c>
      <c r="D35" s="26" t="s">
        <v>137</v>
      </c>
      <c r="E35" s="26" t="s">
        <v>137</v>
      </c>
      <c r="F35" s="2" t="s">
        <v>999</v>
      </c>
      <c r="G35" s="26" t="s">
        <v>904</v>
      </c>
      <c r="H35" s="26"/>
    </row>
    <row r="36" spans="1:8" ht="16" customHeight="1" x14ac:dyDescent="0.25">
      <c r="A36" s="25">
        <v>32</v>
      </c>
      <c r="B36" s="8" t="str">
        <f>HYPERLINK("https://nisrsolutions.com/","National and International Skin Registry Solutions (NISR)")</f>
        <v>National and International Skin Registry Solutions (NISR)</v>
      </c>
      <c r="C36" s="26" t="s">
        <v>31</v>
      </c>
      <c r="D36" s="26" t="s">
        <v>137</v>
      </c>
      <c r="E36" s="26" t="s">
        <v>137</v>
      </c>
      <c r="F36" s="2" t="s">
        <v>526</v>
      </c>
      <c r="G36" s="26" t="s">
        <v>904</v>
      </c>
      <c r="H36" s="26"/>
    </row>
    <row r="37" spans="1:8" ht="16" customHeight="1" x14ac:dyDescent="0.25">
      <c r="A37" s="25">
        <v>33</v>
      </c>
      <c r="B37" s="8" t="str">
        <f>HYPERLINK("https://web.archive.org/web/20210416200855/http://sdns.co.uk/","Scottish Dermatological Nursing Society")</f>
        <v>Scottish Dermatological Nursing Society</v>
      </c>
      <c r="C37" s="26" t="s">
        <v>31</v>
      </c>
      <c r="D37" s="26" t="s">
        <v>33</v>
      </c>
      <c r="E37" s="26" t="s">
        <v>33</v>
      </c>
      <c r="F37" s="2" t="s">
        <v>998</v>
      </c>
      <c r="G37" s="26" t="s">
        <v>904</v>
      </c>
      <c r="H37" s="26"/>
    </row>
    <row r="38" spans="1:8" ht="16" customHeight="1" x14ac:dyDescent="0.25">
      <c r="A38" s="25">
        <v>34</v>
      </c>
      <c r="B38" s="8" t="str">
        <f>HYPERLINK("https://www.sds.org.uk/","Scottish Dermatological Society (SDS)")</f>
        <v>Scottish Dermatological Society (SDS)</v>
      </c>
      <c r="C38" s="26" t="s">
        <v>31</v>
      </c>
      <c r="D38" s="26" t="s">
        <v>33</v>
      </c>
      <c r="E38" s="26" t="s">
        <v>33</v>
      </c>
      <c r="F38" s="2" t="s">
        <v>527</v>
      </c>
      <c r="G38" s="26" t="s">
        <v>904</v>
      </c>
      <c r="H38" s="26"/>
    </row>
    <row r="39" spans="1:8" ht="16" customHeight="1" x14ac:dyDescent="0.25">
      <c r="A39" s="25">
        <v>35</v>
      </c>
      <c r="B39" s="2" t="str">
        <f>HYPERLINK("https://www.sds.org.uk/content/scottish-skin-biology-club","Scottish Skin Biology Club")</f>
        <v>Scottish Skin Biology Club</v>
      </c>
      <c r="C39" s="26" t="s">
        <v>31</v>
      </c>
      <c r="D39" s="26" t="s">
        <v>33</v>
      </c>
      <c r="E39" s="26" t="s">
        <v>33</v>
      </c>
      <c r="F39" s="2" t="s">
        <v>1332</v>
      </c>
      <c r="G39" s="26" t="s">
        <v>904</v>
      </c>
      <c r="H39" s="26"/>
    </row>
    <row r="40" spans="1:8" ht="16" customHeight="1" x14ac:dyDescent="0.25">
      <c r="A40" s="25">
        <v>36</v>
      </c>
      <c r="B40" s="8" t="str">
        <f>HYPERLINK("https://bad.org.uk","British Association of Dermatologists (BAD)")</f>
        <v>British Association of Dermatologists (BAD)</v>
      </c>
      <c r="C40" s="26" t="s">
        <v>31</v>
      </c>
      <c r="D40" s="26" t="s">
        <v>35</v>
      </c>
      <c r="E40" s="26" t="s">
        <v>32</v>
      </c>
      <c r="F40" s="2" t="s">
        <v>528</v>
      </c>
      <c r="G40" s="26" t="s">
        <v>904</v>
      </c>
      <c r="H40" s="26"/>
    </row>
    <row r="41" spans="1:8" ht="16" customHeight="1" x14ac:dyDescent="0.25">
      <c r="A41" s="25">
        <v>37</v>
      </c>
      <c r="B41" s="8" t="str">
        <f>HYPERLINK("http://www.badbir.org/","British Association of Dermatologists Biologic and Immunomodulators Register (BADBIR)")</f>
        <v>British Association of Dermatologists Biologic and Immunomodulators Register (BADBIR)</v>
      </c>
      <c r="C41" s="26" t="s">
        <v>31</v>
      </c>
      <c r="D41" s="26" t="s">
        <v>35</v>
      </c>
      <c r="E41" s="26" t="s">
        <v>32</v>
      </c>
      <c r="F41" s="2" t="s">
        <v>1002</v>
      </c>
      <c r="G41" s="26" t="s">
        <v>904</v>
      </c>
      <c r="H41" s="26"/>
    </row>
    <row r="42" spans="1:8" ht="16" customHeight="1" x14ac:dyDescent="0.25">
      <c r="A42" s="25">
        <v>38</v>
      </c>
      <c r="B42" s="8" t="str">
        <f>HYPERLINK("https://badgem.org.uk/","British Association of Dermatologists Dermatology and Genetic Medicine")</f>
        <v>British Association of Dermatologists Dermatology and Genetic Medicine</v>
      </c>
      <c r="C42" s="26" t="s">
        <v>31</v>
      </c>
      <c r="D42" s="26" t="s">
        <v>35</v>
      </c>
      <c r="E42" s="26" t="s">
        <v>32</v>
      </c>
      <c r="F42" s="2" t="s">
        <v>740</v>
      </c>
      <c r="G42" s="26" t="s">
        <v>904</v>
      </c>
      <c r="H42" s="26"/>
    </row>
    <row r="43" spans="1:8" ht="16" customHeight="1" x14ac:dyDescent="0.25">
      <c r="A43" s="25">
        <v>39</v>
      </c>
      <c r="B43" s="8" t="str">
        <f>HYPERLINK("https://bdng.org.uk/","British Dermatological Nursing Group (BDNG)")</f>
        <v>British Dermatological Nursing Group (BDNG)</v>
      </c>
      <c r="C43" s="26" t="s">
        <v>31</v>
      </c>
      <c r="D43" s="26" t="s">
        <v>35</v>
      </c>
      <c r="E43" s="26" t="s">
        <v>32</v>
      </c>
      <c r="F43" s="2" t="s">
        <v>529</v>
      </c>
      <c r="G43" s="26" t="s">
        <v>904</v>
      </c>
      <c r="H43" s="26"/>
    </row>
    <row r="44" spans="1:8" ht="16" customHeight="1" x14ac:dyDescent="0.25">
      <c r="A44" s="25">
        <v>40</v>
      </c>
      <c r="B44" s="8" t="str">
        <f>HYPERLINK("https://bpg.org.uk/","British Photodermatology Group")</f>
        <v>British Photodermatology Group</v>
      </c>
      <c r="C44" s="26" t="s">
        <v>31</v>
      </c>
      <c r="D44" s="26" t="s">
        <v>35</v>
      </c>
      <c r="E44" s="26"/>
      <c r="F44" s="2" t="s">
        <v>741</v>
      </c>
      <c r="G44" s="26" t="s">
        <v>904</v>
      </c>
      <c r="H44" s="26"/>
    </row>
    <row r="45" spans="1:8" ht="16" customHeight="1" x14ac:dyDescent="0.25">
      <c r="A45" s="25">
        <v>41</v>
      </c>
      <c r="B45" s="8" t="str">
        <f>HYPERLINK("https://cutaneousallergy.org/","British Society for Cutaneous Allergy")</f>
        <v>British Society for Cutaneous Allergy</v>
      </c>
      <c r="C45" s="26" t="s">
        <v>31</v>
      </c>
      <c r="D45" s="26" t="s">
        <v>35</v>
      </c>
      <c r="E45" s="26" t="s">
        <v>32</v>
      </c>
      <c r="F45" s="2" t="s">
        <v>530</v>
      </c>
      <c r="G45" s="26" t="s">
        <v>904</v>
      </c>
      <c r="H45" s="26"/>
    </row>
    <row r="46" spans="1:8" ht="16" customHeight="1" x14ac:dyDescent="0.25">
      <c r="A46" s="25">
        <v>42</v>
      </c>
      <c r="B46" s="8" t="str">
        <f>HYPERLINK("https://thebsd.org.uk/","British Society for Dermatopathology (BSD)")</f>
        <v>British Society for Dermatopathology (BSD)</v>
      </c>
      <c r="C46" s="26" t="s">
        <v>31</v>
      </c>
      <c r="D46" s="26" t="s">
        <v>35</v>
      </c>
      <c r="E46" s="26" t="s">
        <v>32</v>
      </c>
      <c r="F46" s="2" t="s">
        <v>531</v>
      </c>
      <c r="G46" s="26" t="s">
        <v>904</v>
      </c>
      <c r="H46" s="26"/>
    </row>
    <row r="47" spans="1:8" ht="16" customHeight="1" x14ac:dyDescent="0.25">
      <c r="A47" s="25">
        <v>43</v>
      </c>
      <c r="B47" s="8" t="str">
        <f>HYPERLINK("https://www.bsid.org.uk/","British Society for Investigative Dermatology")</f>
        <v>British Society for Investigative Dermatology</v>
      </c>
      <c r="C47" s="26" t="s">
        <v>31</v>
      </c>
      <c r="D47" s="26" t="s">
        <v>35</v>
      </c>
      <c r="E47" s="26" t="s">
        <v>32</v>
      </c>
      <c r="F47" s="2" t="s">
        <v>532</v>
      </c>
      <c r="G47" s="26" t="s">
        <v>904</v>
      </c>
      <c r="H47" s="26"/>
    </row>
    <row r="48" spans="1:8" ht="16" customHeight="1" x14ac:dyDescent="0.25">
      <c r="A48" s="25">
        <v>44</v>
      </c>
      <c r="B48" s="8" t="str">
        <f>HYPERLINK("https://www.bsmd.org.uk/","British Society for Medical Dermatology (BSMD)")</f>
        <v>British Society for Medical Dermatology (BSMD)</v>
      </c>
      <c r="C48" s="26" t="s">
        <v>31</v>
      </c>
      <c r="D48" s="26" t="s">
        <v>35</v>
      </c>
      <c r="E48" s="26" t="s">
        <v>32</v>
      </c>
      <c r="F48" s="2" t="s">
        <v>533</v>
      </c>
      <c r="G48" s="26" t="s">
        <v>904</v>
      </c>
      <c r="H48" s="26"/>
    </row>
    <row r="49" spans="1:8" ht="16" customHeight="1" x14ac:dyDescent="0.25">
      <c r="A49" s="25">
        <v>45</v>
      </c>
      <c r="B49" s="8" t="str">
        <f>HYPERLINK("https://bspad.co.uk/","British Society for Paediatric and Adolescent Dermatology (BSPAD)")</f>
        <v>British Society for Paediatric and Adolescent Dermatology (BSPAD)</v>
      </c>
      <c r="C49" s="26" t="s">
        <v>31</v>
      </c>
      <c r="D49" s="26" t="s">
        <v>35</v>
      </c>
      <c r="E49" s="26" t="s">
        <v>32</v>
      </c>
      <c r="F49" s="2" t="s">
        <v>986</v>
      </c>
      <c r="G49" s="26" t="s">
        <v>911</v>
      </c>
      <c r="H49" s="26"/>
    </row>
    <row r="50" spans="1:8" ht="16" customHeight="1" x14ac:dyDescent="0.25">
      <c r="A50" s="25">
        <v>46</v>
      </c>
      <c r="B50" s="8" t="str">
        <f>HYPERLINK("https://www.bsscii.org.uk/","British Society for Skin Care in Immunosuppressed Individuals (BSSCII)")</f>
        <v>British Society for Skin Care in Immunosuppressed Individuals (BSSCII)</v>
      </c>
      <c r="C50" s="26" t="s">
        <v>31</v>
      </c>
      <c r="D50" s="26" t="s">
        <v>35</v>
      </c>
      <c r="E50" s="26" t="s">
        <v>32</v>
      </c>
      <c r="F50" s="2" t="s">
        <v>742</v>
      </c>
      <c r="G50" s="26" t="s">
        <v>904</v>
      </c>
      <c r="H50" s="26"/>
    </row>
    <row r="51" spans="1:8" ht="16" customHeight="1" x14ac:dyDescent="0.25">
      <c r="A51" s="25">
        <v>47</v>
      </c>
      <c r="B51" s="8" t="str">
        <f>HYPERLINK("https://www.discoveryiod.org.uk/","Discovery Institute of Dermatology")</f>
        <v>Discovery Institute of Dermatology</v>
      </c>
      <c r="C51" s="26" t="s">
        <v>31</v>
      </c>
      <c r="D51" s="26" t="s">
        <v>35</v>
      </c>
      <c r="E51" s="26" t="s">
        <v>33</v>
      </c>
      <c r="F51" s="2" t="s">
        <v>997</v>
      </c>
      <c r="G51" s="26" t="s">
        <v>904</v>
      </c>
      <c r="H51" s="26"/>
    </row>
    <row r="52" spans="1:8" ht="16" customHeight="1" x14ac:dyDescent="0.25">
      <c r="A52" s="25">
        <v>48</v>
      </c>
      <c r="B52" s="8" t="str">
        <f>HYPERLINK("https://www.kingsfund.org.uk/","King's Fund")</f>
        <v>King's Fund</v>
      </c>
      <c r="C52" s="26" t="s">
        <v>31</v>
      </c>
      <c r="D52" s="26" t="s">
        <v>35</v>
      </c>
      <c r="E52" s="26" t="s">
        <v>32</v>
      </c>
      <c r="F52" s="2" t="s">
        <v>1000</v>
      </c>
      <c r="G52" s="26" t="s">
        <v>903</v>
      </c>
      <c r="H52" s="26"/>
    </row>
    <row r="53" spans="1:8" ht="16" customHeight="1" x14ac:dyDescent="0.25">
      <c r="A53" s="25">
        <v>49</v>
      </c>
      <c r="B53" s="8" t="str">
        <f>HYPERLINK("https://www.pcds.org.uk/","Primary Care Dermatology Society (PCDS)")</f>
        <v>Primary Care Dermatology Society (PCDS)</v>
      </c>
      <c r="C53" s="26" t="s">
        <v>31</v>
      </c>
      <c r="D53" s="26" t="s">
        <v>35</v>
      </c>
      <c r="E53" s="26" t="s">
        <v>32</v>
      </c>
      <c r="F53" s="2" t="s">
        <v>534</v>
      </c>
      <c r="G53" s="26" t="s">
        <v>904</v>
      </c>
      <c r="H53" s="26"/>
    </row>
    <row r="54" spans="1:8" ht="16" customHeight="1" x14ac:dyDescent="0.25">
      <c r="A54" s="25">
        <v>50</v>
      </c>
      <c r="B54" s="8" t="str">
        <f>HYPERLINK("https://www.psychodermatology.co.uk/","Psychodermatology UK")</f>
        <v>Psychodermatology UK</v>
      </c>
      <c r="C54" s="26" t="s">
        <v>31</v>
      </c>
      <c r="D54" s="26" t="s">
        <v>35</v>
      </c>
      <c r="E54" s="26" t="s">
        <v>32</v>
      </c>
      <c r="F54" s="2" t="s">
        <v>535</v>
      </c>
      <c r="G54" s="26" t="s">
        <v>904</v>
      </c>
      <c r="H54" s="26"/>
    </row>
    <row r="55" spans="1:8" ht="16" customHeight="1" x14ac:dyDescent="0.25">
      <c r="A55" s="25">
        <v>51</v>
      </c>
      <c r="B55" s="8" t="str">
        <f>HYPERLINK("https://rapideczematrials.org/","Rapid Eczema Trials")</f>
        <v>Rapid Eczema Trials</v>
      </c>
      <c r="C55" s="26" t="s">
        <v>31</v>
      </c>
      <c r="D55" s="26" t="s">
        <v>35</v>
      </c>
      <c r="E55" s="26" t="s">
        <v>32</v>
      </c>
      <c r="F55" s="2" t="s">
        <v>743</v>
      </c>
      <c r="G55" s="26" t="s">
        <v>197</v>
      </c>
      <c r="H55" s="26"/>
    </row>
    <row r="56" spans="1:8" ht="16" customHeight="1" x14ac:dyDescent="0.25">
      <c r="A56" s="25">
        <v>52</v>
      </c>
      <c r="B56" s="8" t="str">
        <f>HYPERLINK("https://bsds.org.uk/","The British Society for Dermatological Surgery (BSDS)")</f>
        <v>The British Society for Dermatological Surgery (BSDS)</v>
      </c>
      <c r="C56" s="26" t="s">
        <v>31</v>
      </c>
      <c r="D56" s="26" t="s">
        <v>35</v>
      </c>
      <c r="E56" s="26" t="s">
        <v>32</v>
      </c>
      <c r="F56" s="2" t="s">
        <v>536</v>
      </c>
      <c r="G56" s="26" t="s">
        <v>904</v>
      </c>
      <c r="H56" s="26"/>
    </row>
    <row r="57" spans="1:8" ht="16" customHeight="1" x14ac:dyDescent="0.25">
      <c r="A57" s="25">
        <v>53</v>
      </c>
      <c r="B57" s="8" t="str">
        <f>HYPERLINK("https://www.bad.org.uk/derm_groups_charity/dowling-club/","The Dowling Club")</f>
        <v>The Dowling Club</v>
      </c>
      <c r="C57" s="26" t="s">
        <v>31</v>
      </c>
      <c r="D57" s="26" t="s">
        <v>35</v>
      </c>
      <c r="E57" s="26" t="s">
        <v>32</v>
      </c>
      <c r="F57" s="2" t="s">
        <v>1001</v>
      </c>
      <c r="G57" s="26" t="s">
        <v>904</v>
      </c>
      <c r="H57" s="26"/>
    </row>
    <row r="58" spans="1:8" ht="16" customHeight="1" x14ac:dyDescent="0.25">
      <c r="A58" s="25">
        <v>54</v>
      </c>
      <c r="B58" s="8" t="str">
        <f>HYPERLINK("http://www.ukdctn.org/index.aspx","UK Dermatology Clinical Trials Network (UK DCTN)")</f>
        <v>UK Dermatology Clinical Trials Network (UK DCTN)</v>
      </c>
      <c r="C58" s="26" t="s">
        <v>31</v>
      </c>
      <c r="D58" s="26" t="s">
        <v>35</v>
      </c>
      <c r="E58" s="26" t="s">
        <v>32</v>
      </c>
      <c r="F58" s="2" t="s">
        <v>537</v>
      </c>
      <c r="G58" s="26" t="s">
        <v>904</v>
      </c>
      <c r="H58" s="26"/>
    </row>
    <row r="59" spans="1:8" ht="16" customHeight="1" x14ac:dyDescent="0.25">
      <c r="A59" s="25">
        <v>55</v>
      </c>
      <c r="B59" s="8" t="str">
        <f>HYPERLINK("https://www.uktrend.org/","UK Translational Research Network in Dermatology (UK TREND)")</f>
        <v>UK Translational Research Network in Dermatology (UK TREND)</v>
      </c>
      <c r="C59" s="26" t="s">
        <v>31</v>
      </c>
      <c r="D59" s="26" t="s">
        <v>35</v>
      </c>
      <c r="E59" s="26" t="s">
        <v>32</v>
      </c>
      <c r="F59" s="2" t="s">
        <v>744</v>
      </c>
      <c r="G59" s="26" t="s">
        <v>904</v>
      </c>
      <c r="H59" s="26"/>
    </row>
    <row r="60" spans="1:8" ht="16" customHeight="1" x14ac:dyDescent="0.25">
      <c r="A60" s="25">
        <v>56</v>
      </c>
      <c r="B60" s="8" t="str">
        <f>HYPERLINK("https://astar-register.org/","UK-Irish Atopic Eczema Systemic Therapy Register")</f>
        <v>UK-Irish Atopic Eczema Systemic Therapy Register</v>
      </c>
      <c r="C60" s="26" t="s">
        <v>31</v>
      </c>
      <c r="D60" s="26" t="s">
        <v>35</v>
      </c>
      <c r="E60" s="26" t="s">
        <v>32</v>
      </c>
      <c r="F60" s="2" t="s">
        <v>996</v>
      </c>
      <c r="G60" s="26" t="s">
        <v>197</v>
      </c>
      <c r="H60" s="26"/>
    </row>
  </sheetData>
  <autoFilter ref="A4:H4"/>
  <sortState ref="A5:H60">
    <sortCondition ref="C5:C60" customList="International,Regional,National"/>
    <sortCondition ref="D5:D60"/>
    <sortCondition ref="B5:B60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30" r:id="rId24"/>
    <hyperlink ref="F31" r:id="rId25"/>
    <hyperlink ref="F32" r:id="rId26"/>
    <hyperlink ref="F33" r:id="rId27"/>
    <hyperlink ref="F34" r:id="rId28"/>
    <hyperlink ref="F36" r:id="rId29"/>
    <hyperlink ref="F38" r:id="rId30"/>
    <hyperlink ref="F40" r:id="rId31" display="https://bad.org.uk/"/>
    <hyperlink ref="F42" r:id="rId32"/>
    <hyperlink ref="F43" r:id="rId33"/>
    <hyperlink ref="F44" r:id="rId34"/>
    <hyperlink ref="F45" r:id="rId35"/>
    <hyperlink ref="F46" r:id="rId36"/>
    <hyperlink ref="F47" r:id="rId37"/>
    <hyperlink ref="F48" r:id="rId38"/>
    <hyperlink ref="F50" r:id="rId39"/>
    <hyperlink ref="F53" r:id="rId40"/>
    <hyperlink ref="F54" r:id="rId41"/>
    <hyperlink ref="F55" r:id="rId42"/>
    <hyperlink ref="F56" r:id="rId43"/>
    <hyperlink ref="F58" r:id="rId44"/>
    <hyperlink ref="F59" r:id="rId45"/>
    <hyperlink ref="F18" r:id="rId46"/>
    <hyperlink ref="F29" r:id="rId47"/>
    <hyperlink ref="F49" r:id="rId48"/>
    <hyperlink ref="F60" r:id="rId49"/>
    <hyperlink ref="F51" r:id="rId50"/>
    <hyperlink ref="F37" r:id="rId51" display="https://web.archive.org/web/20210416200855/http:/sdns.co.uk/"/>
    <hyperlink ref="F35" r:id="rId52" display="https://web.archive.org/web/20220930052340/http:/www.irishdermatologynurses.ie/"/>
    <hyperlink ref="F52" r:id="rId53"/>
    <hyperlink ref="F57" r:id="rId54"/>
    <hyperlink ref="F41" r:id="rId55"/>
    <hyperlink ref="F39" r:id="rId56"/>
  </hyperlinks>
  <pageMargins left="0.7" right="0.7" top="0.75" bottom="0.75" header="0" footer="0"/>
  <pageSetup paperSize="9" orientation="portrait" r:id="rId5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H22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3"/>
  <cols>
    <col min="1" max="1" width="6.1796875" customWidth="1"/>
    <col min="2" max="2" width="70.81640625" customWidth="1"/>
    <col min="3" max="4" width="15.81640625" customWidth="1"/>
    <col min="5" max="5" width="23.81640625" customWidth="1"/>
    <col min="6" max="7" width="22.81640625" customWidth="1"/>
    <col min="8" max="8" width="32.81640625" style="9" customWidth="1"/>
  </cols>
  <sheetData>
    <row r="1" spans="1:8" ht="25.4" customHeight="1" x14ac:dyDescent="0.25">
      <c r="A1" s="79" t="s">
        <v>4</v>
      </c>
      <c r="B1" s="79"/>
      <c r="C1" s="79"/>
      <c r="D1" s="79"/>
      <c r="E1" s="79"/>
      <c r="F1" s="79"/>
      <c r="G1" s="79"/>
      <c r="H1" s="79"/>
    </row>
    <row r="2" spans="1:8" ht="15" customHeight="1" x14ac:dyDescent="0.25">
      <c r="A2" s="77" t="s">
        <v>1</v>
      </c>
      <c r="B2" s="78"/>
      <c r="C2" s="78"/>
      <c r="D2" s="78"/>
      <c r="E2" s="78"/>
      <c r="F2" s="78"/>
      <c r="G2" s="78"/>
      <c r="H2" s="78"/>
    </row>
    <row r="3" spans="1:8" ht="15" customHeight="1" x14ac:dyDescent="0.25">
      <c r="A3" s="78"/>
      <c r="B3" s="78"/>
      <c r="C3" s="78"/>
      <c r="D3" s="78"/>
      <c r="E3" s="78"/>
      <c r="F3" s="78"/>
      <c r="G3" s="78"/>
      <c r="H3" s="78"/>
    </row>
    <row r="4" spans="1:8" ht="28.5" customHeight="1" x14ac:dyDescent="0.25">
      <c r="A4" s="46" t="s">
        <v>14</v>
      </c>
      <c r="B4" s="19" t="s">
        <v>23</v>
      </c>
      <c r="C4" s="46" t="s">
        <v>19</v>
      </c>
      <c r="D4" s="46" t="s">
        <v>20</v>
      </c>
      <c r="E4" s="19" t="s">
        <v>29</v>
      </c>
      <c r="F4" s="46" t="s">
        <v>16</v>
      </c>
      <c r="G4" s="46" t="s">
        <v>902</v>
      </c>
      <c r="H4" s="19" t="s">
        <v>3</v>
      </c>
    </row>
    <row r="5" spans="1:8" ht="16" customHeight="1" x14ac:dyDescent="0.25">
      <c r="A5" s="4">
        <v>1</v>
      </c>
      <c r="B5" s="2" t="str">
        <f>HYPERLINK("http://gmmmg.nhs.uk/","Greater Manchester Medicines Management Group")</f>
        <v>Greater Manchester Medicines Management Group</v>
      </c>
      <c r="C5" s="45" t="s">
        <v>31</v>
      </c>
      <c r="D5" s="45" t="s">
        <v>32</v>
      </c>
      <c r="E5" s="45" t="s">
        <v>32</v>
      </c>
      <c r="F5" s="2" t="s">
        <v>74</v>
      </c>
      <c r="G5" s="28" t="s">
        <v>903</v>
      </c>
      <c r="H5" s="45"/>
    </row>
    <row r="6" spans="1:8" ht="16" customHeight="1" x14ac:dyDescent="0.25">
      <c r="A6" s="4">
        <v>2</v>
      </c>
      <c r="B6" s="2" t="str">
        <f>HYPERLINK("http://ccg.centreformedicinesoptimisation.co.uk/mtrac/","Midlands Therapeutics Review and Advisory Committee")</f>
        <v>Midlands Therapeutics Review and Advisory Committee</v>
      </c>
      <c r="C6" s="45" t="s">
        <v>31</v>
      </c>
      <c r="D6" s="45" t="s">
        <v>32</v>
      </c>
      <c r="E6" s="45" t="s">
        <v>32</v>
      </c>
      <c r="F6" s="2" t="s">
        <v>75</v>
      </c>
      <c r="G6" s="28" t="s">
        <v>903</v>
      </c>
      <c r="H6" s="45"/>
    </row>
    <row r="7" spans="1:8" ht="16" customHeight="1" x14ac:dyDescent="0.25">
      <c r="A7" s="4">
        <v>3</v>
      </c>
      <c r="B7" s="2" t="str">
        <f>HYPERLINK("https://www.england.nhs.uk/medicines-2/commercial-medicines/commercial-medicines-unit/","NHS - The Commercial Medicines Unit (CMU)")</f>
        <v>NHS - The Commercial Medicines Unit (CMU)</v>
      </c>
      <c r="C7" s="45" t="s">
        <v>31</v>
      </c>
      <c r="D7" s="45" t="s">
        <v>32</v>
      </c>
      <c r="E7" s="45" t="s">
        <v>32</v>
      </c>
      <c r="F7" s="2" t="s">
        <v>140</v>
      </c>
      <c r="G7" s="28" t="s">
        <v>903</v>
      </c>
      <c r="H7" s="45"/>
    </row>
    <row r="8" spans="1:8" ht="16" customHeight="1" x14ac:dyDescent="0.25">
      <c r="A8" s="4">
        <v>4</v>
      </c>
      <c r="B8" s="2" t="str">
        <f>HYPERLINK("https://www.ndph.ox.ac.uk/","Nuffield Department of Population and Health")</f>
        <v>Nuffield Department of Population and Health</v>
      </c>
      <c r="C8" s="45" t="s">
        <v>31</v>
      </c>
      <c r="D8" s="45" t="s">
        <v>32</v>
      </c>
      <c r="E8" s="45" t="s">
        <v>32</v>
      </c>
      <c r="F8" s="2" t="s">
        <v>79</v>
      </c>
      <c r="G8" s="28" t="s">
        <v>903</v>
      </c>
      <c r="H8" s="45"/>
    </row>
    <row r="9" spans="1:8" ht="16" customHeight="1" x14ac:dyDescent="0.25">
      <c r="A9" s="4">
        <v>5</v>
      </c>
      <c r="B9" s="2" t="str">
        <f>HYPERLINK("https://www.hiqa.ie/","Health Information and Quality Authority (HIQA)")</f>
        <v>Health Information and Quality Authority (HIQA)</v>
      </c>
      <c r="C9" s="45" t="s">
        <v>31</v>
      </c>
      <c r="D9" s="45" t="s">
        <v>137</v>
      </c>
      <c r="E9" s="45" t="s">
        <v>137</v>
      </c>
      <c r="F9" s="2" t="s">
        <v>538</v>
      </c>
      <c r="G9" s="28" t="s">
        <v>903</v>
      </c>
      <c r="H9" s="45"/>
    </row>
    <row r="10" spans="1:8" ht="16" customHeight="1" x14ac:dyDescent="0.25">
      <c r="A10" s="4">
        <v>6</v>
      </c>
      <c r="B10" s="2" t="str">
        <f>HYPERLINK("http://www.ncpe.ie/","National Centre for Pharmacoeconomics (NCPE)")</f>
        <v>National Centre for Pharmacoeconomics (NCPE)</v>
      </c>
      <c r="C10" s="45" t="s">
        <v>31</v>
      </c>
      <c r="D10" s="45" t="s">
        <v>137</v>
      </c>
      <c r="E10" s="45" t="s">
        <v>137</v>
      </c>
      <c r="F10" s="2" t="s">
        <v>539</v>
      </c>
      <c r="G10" s="28" t="s">
        <v>903</v>
      </c>
      <c r="H10" s="45"/>
    </row>
    <row r="11" spans="1:8" ht="16" customHeight="1" x14ac:dyDescent="0.25">
      <c r="A11" s="4">
        <v>7</v>
      </c>
      <c r="B11" s="2" t="str">
        <f>HYPERLINK("http://www.healthcareimprovementscotland.org/","NHS Quality Improvement Scotland")</f>
        <v>NHS Quality Improvement Scotland</v>
      </c>
      <c r="C11" s="45" t="s">
        <v>31</v>
      </c>
      <c r="D11" s="45" t="s">
        <v>33</v>
      </c>
      <c r="E11" s="45" t="s">
        <v>33</v>
      </c>
      <c r="F11" s="2" t="s">
        <v>70</v>
      </c>
      <c r="G11" s="28" t="s">
        <v>903</v>
      </c>
      <c r="H11" s="45"/>
    </row>
    <row r="12" spans="1:8" ht="16" customHeight="1" x14ac:dyDescent="0.25">
      <c r="A12" s="4">
        <v>8</v>
      </c>
      <c r="B12" s="2" t="str">
        <f>HYPERLINK("https://www.sign.ac.uk/","SIGN - Scottish Intercollegiate Guidelines Network")</f>
        <v>SIGN - Scottish Intercollegiate Guidelines Network</v>
      </c>
      <c r="C12" s="45" t="s">
        <v>31</v>
      </c>
      <c r="D12" s="45" t="s">
        <v>33</v>
      </c>
      <c r="E12" s="45" t="s">
        <v>33</v>
      </c>
      <c r="F12" s="2" t="s">
        <v>540</v>
      </c>
      <c r="G12" s="28" t="s">
        <v>903</v>
      </c>
      <c r="H12" s="45"/>
    </row>
    <row r="13" spans="1:8" ht="16" customHeight="1" x14ac:dyDescent="0.25">
      <c r="A13" s="4">
        <v>9</v>
      </c>
      <c r="B13" s="2" t="str">
        <f>HYPERLINK("http://www.scottishmedicines.org.uk/","SMC - Scottish Medicines Consortium")</f>
        <v>SMC - Scottish Medicines Consortium</v>
      </c>
      <c r="C13" s="45" t="s">
        <v>31</v>
      </c>
      <c r="D13" s="45" t="s">
        <v>33</v>
      </c>
      <c r="E13" s="45" t="s">
        <v>33</v>
      </c>
      <c r="F13" s="2" t="s">
        <v>71</v>
      </c>
      <c r="G13" s="28" t="s">
        <v>903</v>
      </c>
      <c r="H13" s="45"/>
    </row>
    <row r="14" spans="1:8" ht="16" customHeight="1" x14ac:dyDescent="0.25">
      <c r="A14" s="4">
        <v>10</v>
      </c>
      <c r="B14" s="2" t="str">
        <f>HYPERLINK("http://centreformedicinesoptimisation.co.uk/contact/","Centre for Medicines Optimisation")</f>
        <v>Centre for Medicines Optimisation</v>
      </c>
      <c r="C14" s="45" t="s">
        <v>31</v>
      </c>
      <c r="D14" s="45" t="s">
        <v>35</v>
      </c>
      <c r="E14" s="45" t="s">
        <v>35</v>
      </c>
      <c r="F14" s="2" t="s">
        <v>72</v>
      </c>
      <c r="G14" s="28" t="s">
        <v>903</v>
      </c>
      <c r="H14" s="45"/>
    </row>
    <row r="15" spans="1:8" ht="16" customHeight="1" x14ac:dyDescent="0.25">
      <c r="A15" s="4">
        <v>11</v>
      </c>
      <c r="B15" s="2" t="str">
        <f>HYPERLINK("http://www.york.ac.uk/inst/crd/","CRD-Centre for Reviews and Dissemination")</f>
        <v>CRD-Centre for Reviews and Dissemination</v>
      </c>
      <c r="C15" s="45" t="s">
        <v>31</v>
      </c>
      <c r="D15" s="45" t="s">
        <v>35</v>
      </c>
      <c r="E15" s="45" t="s">
        <v>35</v>
      </c>
      <c r="F15" s="2" t="s">
        <v>73</v>
      </c>
      <c r="G15" s="28" t="s">
        <v>903</v>
      </c>
      <c r="H15" s="45"/>
    </row>
    <row r="16" spans="1:8" ht="16" customHeight="1" x14ac:dyDescent="0.25">
      <c r="A16" s="4">
        <v>12</v>
      </c>
      <c r="B16" s="2" t="str">
        <f>HYPERLINK("https://www.ndph.ox.ac.uk/our-research/health-services-research-unit-hsru","Health Services Research Unit")</f>
        <v>Health Services Research Unit</v>
      </c>
      <c r="C16" s="45" t="s">
        <v>31</v>
      </c>
      <c r="D16" s="45" t="s">
        <v>35</v>
      </c>
      <c r="E16" s="45" t="s">
        <v>35</v>
      </c>
      <c r="F16" s="2" t="s">
        <v>728</v>
      </c>
      <c r="G16" s="28" t="s">
        <v>903</v>
      </c>
      <c r="H16" s="45"/>
    </row>
    <row r="17" spans="1:8" ht="16" customHeight="1" x14ac:dyDescent="0.25">
      <c r="A17" s="4">
        <v>13</v>
      </c>
      <c r="B17" s="2" t="str">
        <f>HYPERLINK("https://www.nice.org.uk/","National Institute of Health and Care Excellence")</f>
        <v>National Institute of Health and Care Excellence</v>
      </c>
      <c r="C17" s="45" t="s">
        <v>31</v>
      </c>
      <c r="D17" s="45" t="s">
        <v>35</v>
      </c>
      <c r="E17" s="45" t="s">
        <v>35</v>
      </c>
      <c r="F17" s="2" t="s">
        <v>76</v>
      </c>
      <c r="G17" s="28" t="s">
        <v>903</v>
      </c>
      <c r="H17" s="45"/>
    </row>
    <row r="18" spans="1:8" ht="16" customHeight="1" x14ac:dyDescent="0.25">
      <c r="A18" s="4">
        <v>14</v>
      </c>
      <c r="B18" s="2" t="str">
        <f>HYPERLINK("https://www.nihr.ac.uk/","National Institute of Health Research")</f>
        <v>National Institute of Health Research</v>
      </c>
      <c r="C18" s="45" t="s">
        <v>31</v>
      </c>
      <c r="D18" s="45" t="s">
        <v>35</v>
      </c>
      <c r="E18" s="45" t="s">
        <v>35</v>
      </c>
      <c r="F18" s="2" t="s">
        <v>77</v>
      </c>
      <c r="G18" s="28" t="s">
        <v>903</v>
      </c>
      <c r="H18" s="45"/>
    </row>
    <row r="19" spans="1:8" ht="16" customHeight="1" x14ac:dyDescent="0.25">
      <c r="A19" s="4">
        <v>15</v>
      </c>
      <c r="B19" s="2" t="str">
        <f>HYPERLINK("http://ntag.nhs.uk/","NETAG / NTAG – North East / Northern Treatment Advisory Group")</f>
        <v>NETAG / NTAG – North East / Northern Treatment Advisory Group</v>
      </c>
      <c r="C19" s="45" t="s">
        <v>31</v>
      </c>
      <c r="D19" s="45" t="s">
        <v>35</v>
      </c>
      <c r="E19" s="45" t="s">
        <v>35</v>
      </c>
      <c r="F19" s="2" t="s">
        <v>78</v>
      </c>
      <c r="G19" s="28" t="s">
        <v>903</v>
      </c>
      <c r="H19" s="45"/>
    </row>
    <row r="20" spans="1:8" ht="16" customHeight="1" x14ac:dyDescent="0.25">
      <c r="A20" s="4">
        <v>16</v>
      </c>
      <c r="B20" s="2" t="str">
        <f>HYPERLINK("http://rdtc.nhs.uk/","RDTC – Regional Drug &amp; Therapeutics Centre")</f>
        <v>RDTC – Regional Drug &amp; Therapeutics Centre</v>
      </c>
      <c r="C20" s="45" t="s">
        <v>31</v>
      </c>
      <c r="D20" s="45" t="s">
        <v>35</v>
      </c>
      <c r="E20" s="45" t="s">
        <v>35</v>
      </c>
      <c r="F20" s="2" t="s">
        <v>80</v>
      </c>
      <c r="G20" s="28" t="s">
        <v>903</v>
      </c>
      <c r="H20" s="45"/>
    </row>
    <row r="21" spans="1:8" ht="16" customHeight="1" x14ac:dyDescent="0.25">
      <c r="A21" s="4">
        <v>17</v>
      </c>
      <c r="B21" s="2" t="str">
        <f>HYPERLINK("https://www.sps.nhs.uk/articles/sps-horizon-scanning/","SPS Horizon Scanning Group")</f>
        <v>SPS Horizon Scanning Group</v>
      </c>
      <c r="C21" s="45" t="s">
        <v>31</v>
      </c>
      <c r="D21" s="45" t="s">
        <v>35</v>
      </c>
      <c r="E21" s="45" t="s">
        <v>35</v>
      </c>
      <c r="F21" s="2" t="s">
        <v>729</v>
      </c>
      <c r="G21" s="28" t="s">
        <v>903</v>
      </c>
      <c r="H21" s="45"/>
    </row>
    <row r="22" spans="1:8" ht="16" customHeight="1" x14ac:dyDescent="0.25">
      <c r="A22" s="4">
        <v>18</v>
      </c>
      <c r="B22" s="2" t="str">
        <f>HYPERLINK("https://awttc.nhs.wales/about-us1/our-committees/#AWMSG","AWMSG – All Wales Medicines Strategy Group")</f>
        <v>AWMSG – All Wales Medicines Strategy Group</v>
      </c>
      <c r="C22" s="45" t="s">
        <v>31</v>
      </c>
      <c r="D22" s="45" t="s">
        <v>69</v>
      </c>
      <c r="E22" s="45" t="s">
        <v>69</v>
      </c>
      <c r="F22" s="2" t="s">
        <v>730</v>
      </c>
      <c r="G22" s="28" t="s">
        <v>903</v>
      </c>
      <c r="H22" s="45"/>
    </row>
  </sheetData>
  <autoFilter ref="A4:H4"/>
  <sortState ref="A5:G22">
    <sortCondition ref="C5:C22" customList="International,Regional,National"/>
    <sortCondition ref="D5:D22"/>
    <sortCondition ref="B5:B2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 location="AWMSG" display="https://awttc.nhs.wales/about-us1/our-committees/ - AWMSG"/>
  </hyperlinks>
  <pageMargins left="0.7" right="0.7" top="0.75" bottom="0.75" header="0" footer="0"/>
  <pageSetup orientation="landscape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M32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3.81640625" customWidth="1"/>
    <col min="6" max="6" width="22.81640625" customWidth="1"/>
    <col min="7" max="7" width="19.81640625" customWidth="1"/>
    <col min="8" max="8" width="37.1796875" customWidth="1"/>
  </cols>
  <sheetData>
    <row r="1" spans="1:13" ht="25.4" customHeight="1" x14ac:dyDescent="0.25">
      <c r="A1" s="79" t="s">
        <v>4</v>
      </c>
      <c r="B1" s="79"/>
      <c r="C1" s="79"/>
      <c r="D1" s="79"/>
      <c r="E1" s="79"/>
      <c r="F1" s="79"/>
      <c r="G1" s="79"/>
      <c r="H1" s="79"/>
    </row>
    <row r="2" spans="1:13" ht="15" customHeight="1" x14ac:dyDescent="0.25">
      <c r="A2" s="77" t="s">
        <v>1</v>
      </c>
      <c r="B2" s="78"/>
      <c r="C2" s="78"/>
      <c r="D2" s="78"/>
      <c r="E2" s="78"/>
      <c r="F2" s="78"/>
      <c r="G2" s="78"/>
      <c r="H2" s="78"/>
    </row>
    <row r="3" spans="1:13" ht="15" customHeight="1" x14ac:dyDescent="0.25">
      <c r="A3" s="78"/>
      <c r="B3" s="78"/>
      <c r="C3" s="78"/>
      <c r="D3" s="78"/>
      <c r="E3" s="78"/>
      <c r="F3" s="78"/>
      <c r="G3" s="78"/>
      <c r="H3" s="78"/>
    </row>
    <row r="4" spans="1:13" ht="28.5" customHeight="1" x14ac:dyDescent="0.25">
      <c r="A4" s="1" t="s">
        <v>14</v>
      </c>
      <c r="B4" s="19" t="s">
        <v>24</v>
      </c>
      <c r="C4" s="1" t="s">
        <v>19</v>
      </c>
      <c r="D4" s="1" t="s">
        <v>20</v>
      </c>
      <c r="E4" s="19" t="s">
        <v>29</v>
      </c>
      <c r="F4" s="1" t="s">
        <v>16</v>
      </c>
      <c r="G4" s="27" t="s">
        <v>902</v>
      </c>
      <c r="H4" s="19" t="s">
        <v>3</v>
      </c>
      <c r="I4" s="3"/>
      <c r="J4" s="3"/>
      <c r="K4" s="3"/>
      <c r="L4" s="3"/>
      <c r="M4" s="3"/>
    </row>
    <row r="5" spans="1:13" ht="16" customHeight="1" x14ac:dyDescent="0.35">
      <c r="A5" s="4">
        <v>1</v>
      </c>
      <c r="B5" s="2" t="str">
        <f>HYPERLINK("https://www.who.int/","WHO - World Health Organization")</f>
        <v>WHO - World Health Organization</v>
      </c>
      <c r="C5" s="5" t="s">
        <v>30</v>
      </c>
      <c r="D5" s="5" t="s">
        <v>30</v>
      </c>
      <c r="E5" s="5" t="s">
        <v>63</v>
      </c>
      <c r="F5" s="2" t="s">
        <v>48</v>
      </c>
      <c r="G5" s="28" t="s">
        <v>903</v>
      </c>
      <c r="H5" s="7"/>
      <c r="I5" s="3"/>
      <c r="J5" s="3"/>
      <c r="K5" s="3"/>
      <c r="L5" s="3"/>
      <c r="M5" s="3"/>
    </row>
    <row r="6" spans="1:13" ht="16" customHeight="1" x14ac:dyDescent="0.35">
      <c r="A6" s="4">
        <v>2</v>
      </c>
      <c r="B6" s="2" t="str">
        <f>HYPERLINK("http://ecdc.europa.eu/en/Pages/home.aspx","European Centre for Disease Prevention and Control")</f>
        <v>European Centre for Disease Prevention and Control</v>
      </c>
      <c r="C6" s="5" t="s">
        <v>36</v>
      </c>
      <c r="D6" s="5" t="s">
        <v>37</v>
      </c>
      <c r="E6" s="5" t="s">
        <v>64</v>
      </c>
      <c r="F6" s="2" t="s">
        <v>49</v>
      </c>
      <c r="G6" s="28" t="s">
        <v>903</v>
      </c>
      <c r="H6" s="7"/>
      <c r="I6" s="3"/>
      <c r="J6" s="3"/>
      <c r="K6" s="3"/>
      <c r="L6" s="3"/>
      <c r="M6" s="3"/>
    </row>
    <row r="7" spans="1:13" ht="16" customHeight="1" x14ac:dyDescent="0.35">
      <c r="A7" s="4">
        <v>3</v>
      </c>
      <c r="B7" s="2" t="str">
        <f>HYPERLINK("https://www.ema.europa.eu/en/committees/committee-medicinal-products-human-use-chmp","European Commission Medicinal products for human use")</f>
        <v>European Commission Medicinal products for human use</v>
      </c>
      <c r="C7" s="5" t="s">
        <v>36</v>
      </c>
      <c r="D7" s="5" t="s">
        <v>37</v>
      </c>
      <c r="E7" s="5" t="s">
        <v>67</v>
      </c>
      <c r="F7" s="2" t="s">
        <v>50</v>
      </c>
      <c r="G7" s="28" t="s">
        <v>903</v>
      </c>
      <c r="H7" s="7"/>
      <c r="I7" s="3"/>
      <c r="J7" s="3"/>
      <c r="K7" s="3"/>
      <c r="L7" s="3"/>
      <c r="M7" s="3"/>
    </row>
    <row r="8" spans="1:13" ht="16" customHeight="1" x14ac:dyDescent="0.35">
      <c r="A8" s="4">
        <v>4</v>
      </c>
      <c r="B8" s="2" t="str">
        <f>HYPERLINK("https://www.edqm.eu/en/","European Directorate for the Quality of Medicines &amp; Healthcare")</f>
        <v>European Directorate for the Quality of Medicines &amp; Healthcare</v>
      </c>
      <c r="C8" s="5" t="s">
        <v>36</v>
      </c>
      <c r="D8" s="5" t="s">
        <v>37</v>
      </c>
      <c r="E8" s="5" t="s">
        <v>66</v>
      </c>
      <c r="F8" s="2" t="s">
        <v>51</v>
      </c>
      <c r="G8" s="28" t="s">
        <v>903</v>
      </c>
      <c r="H8" s="7"/>
      <c r="I8" s="3"/>
      <c r="J8" s="3"/>
      <c r="K8" s="3"/>
      <c r="L8" s="3"/>
      <c r="M8" s="3"/>
    </row>
    <row r="9" spans="1:13" ht="16" customHeight="1" x14ac:dyDescent="0.35">
      <c r="A9" s="4">
        <v>5</v>
      </c>
      <c r="B9" s="2" t="str">
        <f>HYPERLINK("http://www.hma.eu/","European Heads of Medicines Agencies")</f>
        <v>European Heads of Medicines Agencies</v>
      </c>
      <c r="C9" s="5" t="s">
        <v>36</v>
      </c>
      <c r="D9" s="5" t="s">
        <v>37</v>
      </c>
      <c r="E9" s="5"/>
      <c r="F9" s="2" t="s">
        <v>52</v>
      </c>
      <c r="G9" s="28" t="s">
        <v>903</v>
      </c>
      <c r="H9" s="7"/>
      <c r="I9" s="3"/>
      <c r="J9" s="3"/>
      <c r="K9" s="3"/>
      <c r="L9" s="3"/>
      <c r="M9" s="3"/>
    </row>
    <row r="10" spans="1:13" ht="16" customHeight="1" x14ac:dyDescent="0.35">
      <c r="A10" s="4">
        <v>6</v>
      </c>
      <c r="B10" s="2" t="str">
        <f>HYPERLINK("http://www.ema.europa.eu/","European Medicines Agency")</f>
        <v>European Medicines Agency</v>
      </c>
      <c r="C10" s="5" t="s">
        <v>36</v>
      </c>
      <c r="D10" s="5" t="s">
        <v>37</v>
      </c>
      <c r="E10" s="5" t="s">
        <v>67</v>
      </c>
      <c r="F10" s="2" t="s">
        <v>53</v>
      </c>
      <c r="G10" s="28" t="s">
        <v>903</v>
      </c>
      <c r="H10" s="7"/>
      <c r="I10" s="3"/>
      <c r="J10" s="3"/>
      <c r="K10" s="3"/>
      <c r="L10" s="3"/>
      <c r="M10" s="3"/>
    </row>
    <row r="11" spans="1:13" ht="16" customHeight="1" x14ac:dyDescent="0.35">
      <c r="A11" s="4">
        <v>7</v>
      </c>
      <c r="B11" s="2" t="str">
        <f>HYPERLINK("https://www.england.nhs.uk/","NHS England")</f>
        <v>NHS England</v>
      </c>
      <c r="C11" s="5" t="s">
        <v>31</v>
      </c>
      <c r="D11" s="5" t="s">
        <v>32</v>
      </c>
      <c r="E11" s="5" t="s">
        <v>32</v>
      </c>
      <c r="F11" s="2" t="s">
        <v>725</v>
      </c>
      <c r="G11" s="28" t="s">
        <v>903</v>
      </c>
      <c r="H11" s="7"/>
      <c r="I11" s="3"/>
      <c r="J11" s="3"/>
      <c r="K11" s="3"/>
      <c r="L11" s="3"/>
      <c r="M11" s="3"/>
    </row>
    <row r="12" spans="1:13" ht="16" customHeight="1" x14ac:dyDescent="0.35">
      <c r="A12" s="4">
        <v>8</v>
      </c>
      <c r="B12" s="2" t="str">
        <f>HYPERLINK("https://www.england.nhs.uk/commissioning/spec-services/npc-crg/group-a/specialised-dermatology/","NHS England (CRG)")</f>
        <v>NHS England (CRG)</v>
      </c>
      <c r="C12" s="5" t="s">
        <v>31</v>
      </c>
      <c r="D12" s="5" t="s">
        <v>32</v>
      </c>
      <c r="E12" s="5" t="s">
        <v>32</v>
      </c>
      <c r="F12" s="2" t="s">
        <v>546</v>
      </c>
      <c r="G12" s="28" t="s">
        <v>904</v>
      </c>
      <c r="H12" s="7"/>
      <c r="I12" s="3"/>
      <c r="J12" s="3"/>
      <c r="K12" s="3"/>
      <c r="L12" s="3"/>
      <c r="M12" s="3"/>
    </row>
    <row r="13" spans="1:13" ht="16" customHeight="1" x14ac:dyDescent="0.35">
      <c r="A13" s="4">
        <v>9</v>
      </c>
      <c r="B13" s="2" t="str">
        <f>HYPERLINK("https://www.gov.ie/en/organisation/department-of-health/","Department of Health Ireland")</f>
        <v>Department of Health Ireland</v>
      </c>
      <c r="C13" s="5" t="s">
        <v>31</v>
      </c>
      <c r="D13" s="5" t="s">
        <v>137</v>
      </c>
      <c r="E13" s="5" t="s">
        <v>137</v>
      </c>
      <c r="F13" s="2" t="s">
        <v>541</v>
      </c>
      <c r="G13" s="28" t="s">
        <v>903</v>
      </c>
      <c r="H13" s="7"/>
      <c r="I13" s="3"/>
      <c r="J13" s="3"/>
      <c r="K13" s="3"/>
      <c r="L13" s="3"/>
      <c r="M13" s="3"/>
    </row>
    <row r="14" spans="1:13" ht="16" customHeight="1" x14ac:dyDescent="0.35">
      <c r="A14" s="4">
        <v>10</v>
      </c>
      <c r="B14" s="2" t="str">
        <f>HYPERLINK("https://www.hsa.ie/eng/","Health &amp; Safety Authority (HSA)")</f>
        <v>Health &amp; Safety Authority (HSA)</v>
      </c>
      <c r="C14" s="5" t="s">
        <v>31</v>
      </c>
      <c r="D14" s="5" t="s">
        <v>137</v>
      </c>
      <c r="E14" s="5" t="s">
        <v>137</v>
      </c>
      <c r="F14" s="2" t="s">
        <v>545</v>
      </c>
      <c r="G14" s="28" t="s">
        <v>903</v>
      </c>
      <c r="H14" s="7"/>
      <c r="I14" s="3"/>
      <c r="J14" s="3"/>
      <c r="K14" s="3"/>
      <c r="L14" s="3"/>
      <c r="M14" s="3"/>
    </row>
    <row r="15" spans="1:13" ht="16" customHeight="1" x14ac:dyDescent="0.35">
      <c r="A15" s="4">
        <v>11</v>
      </c>
      <c r="B15" s="2" t="str">
        <f>HYPERLINK("https://www.hpra.ie/","Health Products Regulatory Authority (HPRA)")</f>
        <v>Health Products Regulatory Authority (HPRA)</v>
      </c>
      <c r="C15" s="5" t="s">
        <v>31</v>
      </c>
      <c r="D15" s="5" t="s">
        <v>137</v>
      </c>
      <c r="E15" s="5" t="s">
        <v>137</v>
      </c>
      <c r="F15" s="2" t="s">
        <v>542</v>
      </c>
      <c r="G15" s="28" t="s">
        <v>903</v>
      </c>
      <c r="H15" s="7"/>
      <c r="I15" s="3"/>
      <c r="J15" s="3"/>
      <c r="K15" s="3"/>
      <c r="L15" s="3"/>
      <c r="M15" s="3"/>
    </row>
    <row r="16" spans="1:13" ht="16" customHeight="1" x14ac:dyDescent="0.35">
      <c r="A16" s="4">
        <v>12</v>
      </c>
      <c r="B16" s="2" t="str">
        <f>HYPERLINK("https://www.hse.ie/eng/","Health Service Executive (HSE)")</f>
        <v>Health Service Executive (HSE)</v>
      </c>
      <c r="C16" s="5" t="s">
        <v>31</v>
      </c>
      <c r="D16" s="5" t="s">
        <v>137</v>
      </c>
      <c r="E16" s="5" t="s">
        <v>137</v>
      </c>
      <c r="F16" s="2" t="s">
        <v>544</v>
      </c>
      <c r="G16" s="28" t="s">
        <v>903</v>
      </c>
      <c r="H16" s="7"/>
      <c r="I16" s="3"/>
      <c r="J16" s="3"/>
      <c r="K16" s="3"/>
      <c r="L16" s="3"/>
      <c r="M16" s="3"/>
    </row>
    <row r="17" spans="1:13" ht="16" customHeight="1" x14ac:dyDescent="0.35">
      <c r="A17" s="4">
        <v>13</v>
      </c>
      <c r="B17" s="2" t="str">
        <f>HYPERLINK("https://www.thepsi.ie/gns/home.aspx","Pharmaceutical Society of Ireland (PSI)")</f>
        <v>Pharmaceutical Society of Ireland (PSI)</v>
      </c>
      <c r="C17" s="5" t="s">
        <v>31</v>
      </c>
      <c r="D17" s="5" t="s">
        <v>137</v>
      </c>
      <c r="E17" s="5" t="s">
        <v>137</v>
      </c>
      <c r="F17" s="2" t="s">
        <v>543</v>
      </c>
      <c r="G17" s="28" t="s">
        <v>903</v>
      </c>
      <c r="H17" s="7"/>
      <c r="I17" s="3"/>
      <c r="J17" s="3"/>
      <c r="K17" s="3"/>
      <c r="L17" s="3"/>
      <c r="M17" s="3"/>
    </row>
    <row r="18" spans="1:13" ht="16" customHeight="1" x14ac:dyDescent="0.35">
      <c r="A18" s="4">
        <v>14</v>
      </c>
      <c r="B18" s="2" t="str">
        <f>HYPERLINK("http://www.psni.org.uk/","Pharmaceutical Society of Northern Ireland")</f>
        <v>Pharmaceutical Society of Northern Ireland</v>
      </c>
      <c r="C18" s="5" t="s">
        <v>31</v>
      </c>
      <c r="D18" s="5" t="s">
        <v>68</v>
      </c>
      <c r="E18" s="5" t="s">
        <v>68</v>
      </c>
      <c r="F18" s="2" t="s">
        <v>54</v>
      </c>
      <c r="G18" s="28" t="s">
        <v>903</v>
      </c>
      <c r="H18" s="7"/>
      <c r="I18" s="3"/>
      <c r="J18" s="3"/>
      <c r="K18" s="3"/>
      <c r="L18" s="3"/>
      <c r="M18" s="3"/>
    </row>
    <row r="19" spans="1:13" ht="16" customHeight="1" x14ac:dyDescent="0.35">
      <c r="A19" s="4">
        <v>15</v>
      </c>
      <c r="B19" s="2" t="str">
        <f>HYPERLINK("https://www.publichealth.hscni.net/","Public Health Agency")</f>
        <v>Public Health Agency</v>
      </c>
      <c r="C19" s="5" t="s">
        <v>31</v>
      </c>
      <c r="D19" s="5" t="s">
        <v>68</v>
      </c>
      <c r="E19" s="5" t="s">
        <v>68</v>
      </c>
      <c r="F19" s="2" t="s">
        <v>55</v>
      </c>
      <c r="G19" s="28" t="s">
        <v>903</v>
      </c>
      <c r="H19" s="7"/>
      <c r="I19" s="3"/>
      <c r="J19" s="3"/>
      <c r="K19" s="3"/>
      <c r="L19" s="3"/>
      <c r="M19" s="3"/>
    </row>
    <row r="20" spans="1:13" ht="16" customHeight="1" x14ac:dyDescent="0.35">
      <c r="A20" s="4">
        <v>16</v>
      </c>
      <c r="B20" s="2" t="str">
        <f>HYPERLINK("https://www.publichealthscotland.scot/","Public Health Scotland")</f>
        <v>Public Health Scotland</v>
      </c>
      <c r="C20" s="5" t="s">
        <v>31</v>
      </c>
      <c r="D20" s="5" t="s">
        <v>33</v>
      </c>
      <c r="E20" s="5" t="s">
        <v>33</v>
      </c>
      <c r="F20" s="2" t="s">
        <v>726</v>
      </c>
      <c r="G20" s="28" t="s">
        <v>903</v>
      </c>
      <c r="H20" s="7"/>
      <c r="I20" s="3"/>
      <c r="J20" s="3"/>
      <c r="K20" s="3"/>
      <c r="L20" s="3"/>
      <c r="M20" s="3"/>
    </row>
    <row r="21" spans="1:13" ht="16" customHeight="1" x14ac:dyDescent="0.35">
      <c r="A21" s="4">
        <v>17</v>
      </c>
      <c r="B21" s="2" t="str">
        <f>HYPERLINK("http://www.abpi.org.uk/","Association of the British Pharmaceutical Industry (ABPI)")</f>
        <v>Association of the British Pharmaceutical Industry (ABPI)</v>
      </c>
      <c r="C21" s="5" t="s">
        <v>31</v>
      </c>
      <c r="D21" s="5" t="s">
        <v>35</v>
      </c>
      <c r="E21" s="5" t="s">
        <v>35</v>
      </c>
      <c r="F21" s="2" t="s">
        <v>548</v>
      </c>
      <c r="G21" s="28" t="s">
        <v>903</v>
      </c>
      <c r="H21" s="7"/>
      <c r="I21" s="3"/>
      <c r="J21" s="3"/>
      <c r="K21" s="3"/>
      <c r="L21" s="3"/>
      <c r="M21" s="3"/>
    </row>
    <row r="22" spans="1:13" ht="16" customHeight="1" x14ac:dyDescent="0.35">
      <c r="A22" s="4">
        <v>18</v>
      </c>
      <c r="B22" s="2" t="str">
        <f>HYPERLINK("https://www.pharmacopoeia.com/","British Pharmacopoeia Commission")</f>
        <v>British Pharmacopoeia Commission</v>
      </c>
      <c r="C22" s="5" t="s">
        <v>31</v>
      </c>
      <c r="D22" s="5" t="s">
        <v>35</v>
      </c>
      <c r="E22" s="5" t="s">
        <v>35</v>
      </c>
      <c r="F22" s="2" t="s">
        <v>56</v>
      </c>
      <c r="G22" s="28" t="s">
        <v>903</v>
      </c>
      <c r="H22" s="7"/>
      <c r="I22" s="3"/>
      <c r="J22" s="3"/>
      <c r="K22" s="3"/>
      <c r="L22" s="3"/>
      <c r="M22" s="3"/>
    </row>
    <row r="23" spans="1:13" ht="16" customHeight="1" x14ac:dyDescent="0.35">
      <c r="A23" s="4">
        <v>19</v>
      </c>
      <c r="B23" s="2" t="str">
        <f>HYPERLINK("https://www.gov.uk/government/organisations/department-of-health-and-social-care","Department of Health &amp; Social Care UK")</f>
        <v>Department of Health &amp; Social Care UK</v>
      </c>
      <c r="C23" s="5" t="s">
        <v>31</v>
      </c>
      <c r="D23" s="5" t="s">
        <v>35</v>
      </c>
      <c r="E23" s="5" t="s">
        <v>35</v>
      </c>
      <c r="F23" s="2" t="s">
        <v>547</v>
      </c>
      <c r="G23" s="28" t="s">
        <v>903</v>
      </c>
      <c r="H23" s="7"/>
      <c r="I23" s="3"/>
      <c r="J23" s="3"/>
      <c r="K23" s="3"/>
      <c r="L23" s="3"/>
      <c r="M23" s="3"/>
    </row>
    <row r="24" spans="1:13" ht="16" customHeight="1" x14ac:dyDescent="0.35">
      <c r="A24" s="4">
        <v>20</v>
      </c>
      <c r="B24" s="2" t="str">
        <f>HYPERLINK("http://www.pharmacyregulation.org/","General Pharmaceutical Council")</f>
        <v>General Pharmaceutical Council</v>
      </c>
      <c r="C24" s="5" t="s">
        <v>31</v>
      </c>
      <c r="D24" s="5" t="s">
        <v>35</v>
      </c>
      <c r="E24" s="5" t="s">
        <v>35</v>
      </c>
      <c r="F24" s="2" t="s">
        <v>57</v>
      </c>
      <c r="G24" s="28" t="s">
        <v>903</v>
      </c>
      <c r="H24" s="7"/>
      <c r="I24" s="3"/>
      <c r="J24" s="3"/>
      <c r="K24" s="3"/>
      <c r="L24" s="3"/>
      <c r="M24" s="3"/>
    </row>
    <row r="25" spans="1:13" ht="16" customHeight="1" x14ac:dyDescent="0.35">
      <c r="A25" s="4">
        <v>21</v>
      </c>
      <c r="B25" s="2" t="str">
        <f>HYPERLINK("https://www.gettingitrightfirsttime.co.uk/","Getting It Right First Time (GIRFT)")</f>
        <v>Getting It Right First Time (GIRFT)</v>
      </c>
      <c r="C25" s="5" t="s">
        <v>31</v>
      </c>
      <c r="D25" s="5" t="s">
        <v>35</v>
      </c>
      <c r="E25" s="5" t="s">
        <v>35</v>
      </c>
      <c r="F25" s="2" t="s">
        <v>58</v>
      </c>
      <c r="G25" s="28" t="s">
        <v>903</v>
      </c>
      <c r="H25" s="7"/>
      <c r="I25" s="3"/>
      <c r="J25" s="3"/>
      <c r="K25" s="3"/>
      <c r="L25" s="3"/>
      <c r="M25" s="3"/>
    </row>
    <row r="26" spans="1:13" ht="16" customHeight="1" x14ac:dyDescent="0.35">
      <c r="A26" s="4">
        <v>22</v>
      </c>
      <c r="B26" s="2" t="str">
        <f>HYPERLINK("https://www.gov.uk/government/organisations/medicines-and-healthcare-products-regulatory-agency","MHRA - Medicines and Healthcare Products Regulatory Agency")</f>
        <v>MHRA - Medicines and Healthcare Products Regulatory Agency</v>
      </c>
      <c r="C26" s="5" t="s">
        <v>31</v>
      </c>
      <c r="D26" s="5" t="s">
        <v>35</v>
      </c>
      <c r="E26" s="5" t="s">
        <v>35</v>
      </c>
      <c r="F26" s="2" t="s">
        <v>727</v>
      </c>
      <c r="G26" s="28" t="s">
        <v>903</v>
      </c>
      <c r="H26" s="7"/>
      <c r="I26" s="3"/>
      <c r="J26" s="3"/>
      <c r="K26" s="3"/>
      <c r="L26" s="3"/>
      <c r="M26" s="3"/>
    </row>
    <row r="27" spans="1:13" ht="16" customHeight="1" x14ac:dyDescent="0.35">
      <c r="A27" s="4">
        <v>23</v>
      </c>
      <c r="B27" s="2" t="str">
        <f>HYPERLINK("https://www.nhsbsa.nhs.uk/nhs-prescription-services","NHS Prescription Services")</f>
        <v>NHS Prescription Services</v>
      </c>
      <c r="C27" s="5" t="s">
        <v>31</v>
      </c>
      <c r="D27" s="5" t="s">
        <v>35</v>
      </c>
      <c r="E27" s="5" t="s">
        <v>35</v>
      </c>
      <c r="F27" s="2" t="s">
        <v>59</v>
      </c>
      <c r="G27" s="28" t="s">
        <v>903</v>
      </c>
      <c r="H27" s="7"/>
      <c r="I27" s="3"/>
      <c r="J27" s="3"/>
      <c r="K27" s="3"/>
      <c r="L27" s="3"/>
      <c r="M27" s="3"/>
    </row>
    <row r="28" spans="1:13" ht="16" customHeight="1" x14ac:dyDescent="0.35">
      <c r="A28" s="4">
        <v>24</v>
      </c>
      <c r="B28" s="2" t="str">
        <f>HYPERLINK("https://www.nihr.ac.uk/explore-nihr/funding-programmes/health-technology-assessment.htm","NIHR - Health Technology Assessment (HTA)")</f>
        <v>NIHR - Health Technology Assessment (HTA)</v>
      </c>
      <c r="C28" s="5" t="s">
        <v>31</v>
      </c>
      <c r="D28" s="5" t="s">
        <v>35</v>
      </c>
      <c r="E28" s="5" t="s">
        <v>35</v>
      </c>
      <c r="F28" s="2" t="s">
        <v>60</v>
      </c>
      <c r="G28" s="28" t="s">
        <v>903</v>
      </c>
      <c r="H28" s="7"/>
      <c r="I28" s="3"/>
      <c r="J28" s="3"/>
      <c r="K28" s="3"/>
      <c r="L28" s="3"/>
      <c r="M28" s="3"/>
    </row>
    <row r="29" spans="1:13" ht="16" customHeight="1" x14ac:dyDescent="0.35">
      <c r="A29" s="4">
        <v>25</v>
      </c>
      <c r="B29" s="2" t="str">
        <f>HYPERLINK("https://www.gov.uk/government/organisations/office-for-health-improvement-and-disparities","Office for Health Improvement and Disparities")</f>
        <v>Office for Health Improvement and Disparities</v>
      </c>
      <c r="C29" s="5" t="s">
        <v>31</v>
      </c>
      <c r="D29" s="5" t="s">
        <v>35</v>
      </c>
      <c r="E29" s="5" t="s">
        <v>35</v>
      </c>
      <c r="F29" s="2" t="s">
        <v>139</v>
      </c>
      <c r="G29" s="28" t="s">
        <v>903</v>
      </c>
      <c r="H29" s="7"/>
      <c r="I29" s="3"/>
      <c r="J29" s="3"/>
      <c r="K29" s="3"/>
      <c r="L29" s="3"/>
      <c r="M29" s="3"/>
    </row>
    <row r="30" spans="1:13" ht="16" customHeight="1" x14ac:dyDescent="0.35">
      <c r="A30" s="4">
        <v>26</v>
      </c>
      <c r="B30" s="2" t="str">
        <f>HYPERLINK("https://www.gov.uk/government/organisations/uk-health-security-agency","UK Health Security Agency")</f>
        <v>UK Health Security Agency</v>
      </c>
      <c r="C30" s="5" t="s">
        <v>31</v>
      </c>
      <c r="D30" s="5" t="s">
        <v>35</v>
      </c>
      <c r="E30" s="5" t="s">
        <v>35</v>
      </c>
      <c r="F30" s="2" t="s">
        <v>138</v>
      </c>
      <c r="G30" s="28" t="s">
        <v>903</v>
      </c>
      <c r="H30" s="7"/>
      <c r="I30" s="3"/>
      <c r="J30" s="3"/>
      <c r="K30" s="3"/>
      <c r="L30" s="3"/>
      <c r="M30" s="3"/>
    </row>
    <row r="31" spans="1:13" ht="16" customHeight="1" x14ac:dyDescent="0.35">
      <c r="A31" s="4">
        <v>27</v>
      </c>
      <c r="B31" s="2" t="str">
        <f>HYPERLINK("http://www.wales.nhs.uk/sitesplus/956/home","Digital Health and Care Wales (DHCW)")</f>
        <v>Digital Health and Care Wales (DHCW)</v>
      </c>
      <c r="C31" s="5" t="s">
        <v>31</v>
      </c>
      <c r="D31" s="5" t="s">
        <v>69</v>
      </c>
      <c r="E31" s="5" t="s">
        <v>69</v>
      </c>
      <c r="F31" s="2" t="s">
        <v>61</v>
      </c>
      <c r="G31" s="28" t="s">
        <v>903</v>
      </c>
      <c r="H31" s="7"/>
      <c r="I31" s="3"/>
      <c r="J31" s="3"/>
      <c r="K31" s="3"/>
      <c r="L31" s="3"/>
      <c r="M31" s="3"/>
    </row>
    <row r="32" spans="1:13" ht="16" customHeight="1" x14ac:dyDescent="0.35">
      <c r="A32" s="4">
        <v>28</v>
      </c>
      <c r="B32" s="2" t="str">
        <f>HYPERLINK("https://phw.nhs.wales/","Public Health Wales")</f>
        <v>Public Health Wales</v>
      </c>
      <c r="C32" s="5" t="s">
        <v>31</v>
      </c>
      <c r="D32" s="5" t="s">
        <v>69</v>
      </c>
      <c r="E32" s="5" t="s">
        <v>69</v>
      </c>
      <c r="F32" s="2" t="s">
        <v>62</v>
      </c>
      <c r="G32" s="28" t="s">
        <v>903</v>
      </c>
      <c r="H32" s="7"/>
      <c r="I32" s="3"/>
      <c r="J32" s="3"/>
      <c r="K32" s="3"/>
      <c r="L32" s="3"/>
      <c r="M32" s="3"/>
    </row>
  </sheetData>
  <autoFilter ref="A4:H32"/>
  <sortState ref="A5:G32">
    <sortCondition ref="C5:C32" customList="International,Regional,National"/>
    <sortCondition ref="D5:D32"/>
    <sortCondition ref="B5:B3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</hyperlinks>
  <pageMargins left="0.7" right="0.7" top="0.75" bottom="0.75" header="0" footer="0"/>
  <pageSetup orientation="landscape" r:id="rId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"/>
  <sheetViews>
    <sheetView showGridLines="0" zoomScaleNormal="100" workbookViewId="0">
      <pane xSplit="2" ySplit="4" topLeftCell="C5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C5" sqref="C5"/>
    </sheetView>
  </sheetViews>
  <sheetFormatPr defaultColWidth="13.1796875" defaultRowHeight="15" customHeight="1" x14ac:dyDescent="0.3"/>
  <cols>
    <col min="1" max="1" width="6.1796875" style="12" customWidth="1"/>
    <col min="2" max="2" width="50.81640625" style="12" customWidth="1"/>
    <col min="3" max="4" width="15.81640625" style="12" customWidth="1"/>
    <col min="5" max="5" width="23.81640625" style="12" customWidth="1"/>
    <col min="6" max="6" width="25.81640625" style="12" customWidth="1"/>
    <col min="7" max="7" width="17.7265625" style="12" customWidth="1"/>
    <col min="8" max="8" width="18.1796875" style="12" customWidth="1"/>
    <col min="9" max="16384" width="13.1796875" style="12"/>
  </cols>
  <sheetData>
    <row r="1" spans="1:8" ht="24.75" customHeight="1" x14ac:dyDescent="0.3">
      <c r="A1" s="81" t="s">
        <v>0</v>
      </c>
      <c r="B1" s="81"/>
      <c r="C1" s="81"/>
      <c r="D1" s="81"/>
      <c r="E1" s="81"/>
      <c r="F1" s="81"/>
      <c r="G1" s="81"/>
      <c r="H1" s="81"/>
    </row>
    <row r="2" spans="1:8" ht="15" customHeight="1" x14ac:dyDescent="0.3">
      <c r="A2" s="82" t="s">
        <v>1</v>
      </c>
      <c r="B2" s="83"/>
      <c r="C2" s="83"/>
      <c r="D2" s="83"/>
      <c r="E2" s="83"/>
      <c r="F2" s="83"/>
      <c r="G2" s="83"/>
      <c r="H2" s="83"/>
    </row>
    <row r="3" spans="1:8" ht="14.25" customHeight="1" x14ac:dyDescent="0.3">
      <c r="A3" s="83"/>
      <c r="B3" s="83"/>
      <c r="C3" s="83"/>
      <c r="D3" s="83"/>
      <c r="E3" s="83"/>
      <c r="F3" s="83"/>
      <c r="G3" s="83"/>
      <c r="H3" s="83"/>
    </row>
    <row r="4" spans="1:8" ht="28.5" customHeight="1" x14ac:dyDescent="0.3">
      <c r="A4" s="1" t="s">
        <v>14</v>
      </c>
      <c r="B4" s="13" t="s">
        <v>745</v>
      </c>
      <c r="C4" s="1" t="s">
        <v>19</v>
      </c>
      <c r="D4" s="1" t="s">
        <v>20</v>
      </c>
      <c r="E4" s="1" t="s">
        <v>29</v>
      </c>
      <c r="F4" s="1" t="s">
        <v>16</v>
      </c>
      <c r="G4" s="27" t="s">
        <v>902</v>
      </c>
      <c r="H4" s="13" t="s">
        <v>3</v>
      </c>
    </row>
    <row r="5" spans="1:8" s="18" customFormat="1" ht="16" customHeight="1" x14ac:dyDescent="0.25">
      <c r="A5" s="14">
        <v>1</v>
      </c>
      <c r="B5" s="15" t="str">
        <f>HYPERLINK("https://healthinnovationnetwork.com/","Health Innovation Network")</f>
        <v>Health Innovation Network</v>
      </c>
      <c r="C5" s="16" t="s">
        <v>31</v>
      </c>
      <c r="D5" s="21" t="s">
        <v>32</v>
      </c>
      <c r="E5" s="21" t="s">
        <v>32</v>
      </c>
      <c r="F5" s="2" t="s">
        <v>82</v>
      </c>
      <c r="G5" s="28" t="s">
        <v>903</v>
      </c>
      <c r="H5" s="17"/>
    </row>
    <row r="6" spans="1:8" s="18" customFormat="1" ht="16" customHeight="1" x14ac:dyDescent="0.25">
      <c r="A6" s="14">
        <v>2</v>
      </c>
      <c r="B6" s="15" t="str">
        <f>HYPERLINK("https://healthinnovationeast.co.uk/","Health Innovation Network - East")</f>
        <v>Health Innovation Network - East</v>
      </c>
      <c r="C6" s="16" t="s">
        <v>31</v>
      </c>
      <c r="D6" s="21" t="s">
        <v>32</v>
      </c>
      <c r="E6" s="21" t="s">
        <v>32</v>
      </c>
      <c r="F6" s="2" t="s">
        <v>747</v>
      </c>
      <c r="G6" s="28" t="s">
        <v>903</v>
      </c>
      <c r="H6" s="17"/>
    </row>
    <row r="7" spans="1:8" s="18" customFormat="1" ht="16" customHeight="1" x14ac:dyDescent="0.25">
      <c r="A7" s="14">
        <v>3</v>
      </c>
      <c r="B7" s="15" t="str">
        <f>HYPERLINK("https://healthinnovation-em.org.uk/","Health Innovation Network - East Midlands")</f>
        <v>Health Innovation Network - East Midlands</v>
      </c>
      <c r="C7" s="16" t="s">
        <v>31</v>
      </c>
      <c r="D7" s="21" t="s">
        <v>32</v>
      </c>
      <c r="E7" s="21" t="s">
        <v>32</v>
      </c>
      <c r="F7" s="2" t="s">
        <v>746</v>
      </c>
      <c r="G7" s="28" t="s">
        <v>903</v>
      </c>
      <c r="H7" s="17"/>
    </row>
    <row r="8" spans="1:8" s="18" customFormat="1" ht="16" customHeight="1" x14ac:dyDescent="0.25">
      <c r="A8" s="14">
        <v>4</v>
      </c>
      <c r="B8" s="15" t="str">
        <f>HYPERLINK("https://healthinnovationmanchester.com/","Health Innovation Network - Health Innovation Manchester")</f>
        <v>Health Innovation Network - Health Innovation Manchester</v>
      </c>
      <c r="C8" s="16" t="s">
        <v>31</v>
      </c>
      <c r="D8" s="21" t="s">
        <v>32</v>
      </c>
      <c r="E8" s="21" t="s">
        <v>32</v>
      </c>
      <c r="F8" s="2" t="s">
        <v>81</v>
      </c>
      <c r="G8" s="28" t="s">
        <v>903</v>
      </c>
      <c r="H8" s="17"/>
    </row>
    <row r="9" spans="1:8" s="18" customFormat="1" ht="16" customHeight="1" x14ac:dyDescent="0.25">
      <c r="A9" s="14">
        <v>5</v>
      </c>
      <c r="B9" s="15" t="str">
        <f>HYPERLINK("https://imperialcollegehealthpartners.com/","Health Innovation Network - Imperial College Health Partners")</f>
        <v>Health Innovation Network - Imperial College Health Partners</v>
      </c>
      <c r="C9" s="16" t="s">
        <v>31</v>
      </c>
      <c r="D9" s="21" t="s">
        <v>32</v>
      </c>
      <c r="E9" s="21" t="s">
        <v>32</v>
      </c>
      <c r="F9" s="2" t="s">
        <v>83</v>
      </c>
      <c r="G9" s="28" t="s">
        <v>903</v>
      </c>
      <c r="H9" s="17"/>
    </row>
    <row r="10" spans="1:8" s="18" customFormat="1" ht="16" customHeight="1" x14ac:dyDescent="0.25">
      <c r="A10" s="14">
        <v>6</v>
      </c>
      <c r="B10" s="15" t="str">
        <f>HYPERLINK("https://healthinnovation-kss.com/","Health Innovation Network - Kent Surrey Sussex")</f>
        <v>Health Innovation Network - Kent Surrey Sussex</v>
      </c>
      <c r="C10" s="16" t="s">
        <v>31</v>
      </c>
      <c r="D10" s="21" t="s">
        <v>32</v>
      </c>
      <c r="E10" s="21" t="s">
        <v>32</v>
      </c>
      <c r="F10" s="2" t="s">
        <v>748</v>
      </c>
      <c r="G10" s="28" t="s">
        <v>903</v>
      </c>
      <c r="H10" s="17"/>
    </row>
    <row r="11" spans="1:8" s="18" customFormat="1" ht="16" customHeight="1" x14ac:dyDescent="0.25">
      <c r="A11" s="14">
        <v>7</v>
      </c>
      <c r="B11" s="15" t="str">
        <f>HYPERLINK("https://healthinnovationnenc.org.uk/","Health Innovation Network - North East and North Cumbria")</f>
        <v>Health Innovation Network - North East and North Cumbria</v>
      </c>
      <c r="C11" s="16" t="s">
        <v>31</v>
      </c>
      <c r="D11" s="21" t="s">
        <v>32</v>
      </c>
      <c r="E11" s="21" t="s">
        <v>32</v>
      </c>
      <c r="F11" s="2" t="s">
        <v>749</v>
      </c>
      <c r="G11" s="28" t="s">
        <v>903</v>
      </c>
      <c r="H11" s="17"/>
    </row>
    <row r="12" spans="1:8" s="18" customFormat="1" ht="16" customHeight="1" x14ac:dyDescent="0.25">
      <c r="A12" s="14">
        <v>8</v>
      </c>
      <c r="B12" s="15" t="str">
        <f>HYPERLINK("https://www.healthinnovationnwc.nhs.uk/","Health Innovation Network - North West Coast - Innovation Agency")</f>
        <v>Health Innovation Network - North West Coast - Innovation Agency</v>
      </c>
      <c r="C12" s="16" t="s">
        <v>31</v>
      </c>
      <c r="D12" s="21" t="s">
        <v>32</v>
      </c>
      <c r="E12" s="21" t="s">
        <v>32</v>
      </c>
      <c r="F12" s="2" t="s">
        <v>750</v>
      </c>
      <c r="G12" s="28" t="s">
        <v>903</v>
      </c>
      <c r="H12" s="17"/>
    </row>
    <row r="13" spans="1:8" s="18" customFormat="1" ht="16" customHeight="1" x14ac:dyDescent="0.25">
      <c r="A13" s="14">
        <v>9</v>
      </c>
      <c r="B13" s="15" t="str">
        <f>HYPERLINK("https://www.healthinnovationoxford.org/","Health Innovation Network - Oxford")</f>
        <v>Health Innovation Network - Oxford</v>
      </c>
      <c r="C13" s="16" t="s">
        <v>31</v>
      </c>
      <c r="D13" s="21" t="s">
        <v>32</v>
      </c>
      <c r="E13" s="21" t="s">
        <v>32</v>
      </c>
      <c r="F13" s="2" t="s">
        <v>751</v>
      </c>
      <c r="G13" s="28" t="s">
        <v>903</v>
      </c>
      <c r="H13" s="17"/>
    </row>
    <row r="14" spans="1:8" s="18" customFormat="1" ht="16" customHeight="1" x14ac:dyDescent="0.25">
      <c r="A14" s="14">
        <v>10</v>
      </c>
      <c r="B14" s="15" t="str">
        <f>HYPERLINK("https://healthinnovationsouthwest.com/","Health Innovation Network - South West")</f>
        <v>Health Innovation Network - South West</v>
      </c>
      <c r="C14" s="16" t="s">
        <v>31</v>
      </c>
      <c r="D14" s="21" t="s">
        <v>32</v>
      </c>
      <c r="E14" s="21" t="s">
        <v>32</v>
      </c>
      <c r="F14" s="2" t="s">
        <v>752</v>
      </c>
      <c r="G14" s="28" t="s">
        <v>903</v>
      </c>
      <c r="H14" s="17"/>
    </row>
    <row r="15" spans="1:8" s="18" customFormat="1" ht="16" customHeight="1" x14ac:dyDescent="0.25">
      <c r="A15" s="14">
        <v>11</v>
      </c>
      <c r="B15" s="15" t="str">
        <f>HYPERLINK("https://uclpartners.com/","Health Innovation Network - UCL Partners")</f>
        <v>Health Innovation Network - UCL Partners</v>
      </c>
      <c r="C15" s="16" t="s">
        <v>31</v>
      </c>
      <c r="D15" s="21" t="s">
        <v>32</v>
      </c>
      <c r="E15" s="21" t="s">
        <v>32</v>
      </c>
      <c r="F15" s="2" t="s">
        <v>84</v>
      </c>
      <c r="G15" s="28" t="s">
        <v>903</v>
      </c>
      <c r="H15" s="17"/>
    </row>
    <row r="16" spans="1:8" s="18" customFormat="1" ht="16" customHeight="1" x14ac:dyDescent="0.25">
      <c r="A16" s="14">
        <v>12</v>
      </c>
      <c r="B16" s="15" t="str">
        <f>HYPERLINK("https://healthinnovationwessex.org.uk/","Health Innovation Network - Wessex")</f>
        <v>Health Innovation Network - Wessex</v>
      </c>
      <c r="C16" s="16" t="s">
        <v>31</v>
      </c>
      <c r="D16" s="21" t="s">
        <v>32</v>
      </c>
      <c r="E16" s="21" t="s">
        <v>32</v>
      </c>
      <c r="F16" s="2" t="s">
        <v>753</v>
      </c>
      <c r="G16" s="28" t="s">
        <v>903</v>
      </c>
      <c r="H16" s="17"/>
    </row>
    <row r="17" spans="1:8" s="18" customFormat="1" ht="16" customHeight="1" x14ac:dyDescent="0.25">
      <c r="A17" s="14">
        <v>13</v>
      </c>
      <c r="B17" s="15" t="str">
        <f>HYPERLINK("https://www.healthinnovationwestmidlands.org/","Health Innovation Network - West Midlands")</f>
        <v>Health Innovation Network - West Midlands</v>
      </c>
      <c r="C17" s="16" t="s">
        <v>31</v>
      </c>
      <c r="D17" s="21" t="s">
        <v>32</v>
      </c>
      <c r="E17" s="21" t="s">
        <v>32</v>
      </c>
      <c r="F17" s="2" t="s">
        <v>754</v>
      </c>
      <c r="G17" s="28" t="s">
        <v>903</v>
      </c>
      <c r="H17" s="17"/>
    </row>
    <row r="18" spans="1:8" s="18" customFormat="1" ht="16" customHeight="1" x14ac:dyDescent="0.25">
      <c r="A18" s="14">
        <v>14</v>
      </c>
      <c r="B18" s="15" t="str">
        <f>HYPERLINK("https://www.healthinnowest.net/","Health Innovation Network - West of England")</f>
        <v>Health Innovation Network - West of England</v>
      </c>
      <c r="C18" s="16" t="s">
        <v>31</v>
      </c>
      <c r="D18" s="21" t="s">
        <v>32</v>
      </c>
      <c r="E18" s="21" t="s">
        <v>32</v>
      </c>
      <c r="F18" s="2" t="s">
        <v>755</v>
      </c>
      <c r="G18" s="28" t="s">
        <v>903</v>
      </c>
      <c r="H18" s="17"/>
    </row>
    <row r="19" spans="1:8" s="18" customFormat="1" ht="16" customHeight="1" x14ac:dyDescent="0.25">
      <c r="A19" s="14">
        <v>15</v>
      </c>
      <c r="B19" s="15" t="str">
        <f>HYPERLINK("https://www.healthinnovationyh.org.uk/","Health Innovation Network - Yorkshire and Humber")</f>
        <v>Health Innovation Network - Yorkshire and Humber</v>
      </c>
      <c r="C19" s="16" t="s">
        <v>31</v>
      </c>
      <c r="D19" s="21" t="s">
        <v>32</v>
      </c>
      <c r="E19" s="21" t="s">
        <v>32</v>
      </c>
      <c r="F19" s="2" t="s">
        <v>756</v>
      </c>
      <c r="G19" s="28" t="s">
        <v>903</v>
      </c>
      <c r="H19" s="17"/>
    </row>
  </sheetData>
  <autoFilter ref="A4:H4"/>
  <sortState ref="A5:G19">
    <sortCondition ref="C5:C19" customList="International,Regional,National"/>
    <sortCondition ref="D5:D19"/>
    <sortCondition ref="B5:B19"/>
  </sortState>
  <mergeCells count="2">
    <mergeCell ref="A1:H1"/>
    <mergeCell ref="A2:H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</hyperlinks>
  <pageMargins left="0.7" right="0.7" top="0.75" bottom="0.75" header="0" footer="0"/>
  <pageSetup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97d734-4801-40da-89ef-017d807fa2a8" xsi:nil="true"/>
    <lcf76f155ced4ddcb4097134ff3c332f xmlns="32bdb438-7d0f-4225-b594-ab5c81528ae2">
      <Terms xmlns="http://schemas.microsoft.com/office/infopath/2007/PartnerControls"/>
    </lcf76f155ced4ddcb4097134ff3c332f>
    <TaxKeywordTaxHTField xmlns="a497d734-4801-40da-89ef-017d807fa2a8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EB3696C166B4E98EC7230A836A500" ma:contentTypeVersion="21" ma:contentTypeDescription="Create a new document." ma:contentTypeScope="" ma:versionID="d0252fa9e8ce32db289fcc04af7da083">
  <xsd:schema xmlns:xsd="http://www.w3.org/2001/XMLSchema" xmlns:xs="http://www.w3.org/2001/XMLSchema" xmlns:p="http://schemas.microsoft.com/office/2006/metadata/properties" xmlns:ns2="a497d734-4801-40da-89ef-017d807fa2a8" xmlns:ns3="32bdb438-7d0f-4225-b594-ab5c81528ae2" targetNamespace="http://schemas.microsoft.com/office/2006/metadata/properties" ma:root="true" ma:fieldsID="b27134fb40eced3b7ae49a2ced564ec8" ns2:_="" ns3:_="">
    <xsd:import namespace="a497d734-4801-40da-89ef-017d807fa2a8"/>
    <xsd:import namespace="32bdb438-7d0f-4225-b594-ab5c81528ae2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2:TaxKeywordTaxHTField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7d734-4801-40da-89ef-017d807fa2a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55cb9c4c-58e5-407b-9a70-3c8acc7b7146}" ma:internalName="TaxCatchAll" ma:showField="CatchAllData" ma:web="a497d734-4801-40da-89ef-017d807fa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db438-7d0f-4225-b594-ab5c81528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23ccff-1beb-4bf6-8606-78be1bc4f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35B65-78EA-42ED-ADEA-0057F3BB7C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F517D-49D9-4CC3-83D4-8F161F1674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97d734-4801-40da-89ef-017d807fa2a8"/>
    <ds:schemaRef ds:uri="http://purl.org/dc/terms/"/>
    <ds:schemaRef ds:uri="32bdb438-7d0f-4225-b594-ab5c81528a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D78DC6-64A3-488E-9F50-93DE208AC1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Journals</vt:lpstr>
      <vt:lpstr>Clinical Trials</vt:lpstr>
      <vt:lpstr>Congresses</vt:lpstr>
      <vt:lpstr>Guidelines</vt:lpstr>
      <vt:lpstr>Patient Organisations</vt:lpstr>
      <vt:lpstr>Professional Organisations</vt:lpstr>
      <vt:lpstr>Payor Drug Evaluation Groups</vt:lpstr>
      <vt:lpstr>Regulatory Agencies</vt:lpstr>
      <vt:lpstr>Health Innovation Network</vt:lpstr>
      <vt:lpstr>Health Boards</vt:lpstr>
      <vt:lpstr>Publications</vt:lpstr>
      <vt:lpstr>ICSs</vt:lpstr>
      <vt:lpstr>Center of Excellence</vt:lpstr>
      <vt:lpstr>Private Clinics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/>
  <cp:lastPrinted>2023-08-29T07:23:10Z</cp:lastPrinted>
  <dcterms:created xsi:type="dcterms:W3CDTF">2021-04-29T13:01:23Z</dcterms:created>
  <dcterms:modified xsi:type="dcterms:W3CDTF">2024-04-10T12:41:58Z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0x0101009A7EB3696C166B4E98EC7230A836A500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