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hidePivotFieldList="1"/>
  <bookViews>
    <workbookView xWindow="0" yWindow="0" windowWidth="19200" windowHeight="7110" tabRatio="918"/>
  </bookViews>
  <sheets>
    <sheet name="Journals" sheetId="18" r:id="rId1"/>
    <sheet name="Clinical Trials" sheetId="31" r:id="rId2"/>
    <sheet name="Guidelines" sheetId="5" r:id="rId3"/>
    <sheet name="Congresses" sheetId="36" r:id="rId4"/>
    <sheet name="Patient Organisations" sheetId="2" r:id="rId5"/>
    <sheet name="Professional Organisations" sheetId="3" r:id="rId6"/>
    <sheet name="Payor Drug Evaluation Groups" sheetId="37" r:id="rId7"/>
    <sheet name="Regulatory Agencies" sheetId="38" r:id="rId8"/>
    <sheet name="Center of Excellence" sheetId="40" r:id="rId9"/>
    <sheet name="Private Clinics" sheetId="41" r:id="rId10"/>
    <sheet name="Publications" sheetId="39" r:id="rId11"/>
  </sheets>
  <definedNames>
    <definedName name="_xlnm._FilterDatabase" localSheetId="8" hidden="1">'Center of Excellence'!$A$4:$G$90</definedName>
    <definedName name="_xlnm._FilterDatabase" localSheetId="1" hidden="1">'Clinical Trials'!$A$4:$G$123</definedName>
    <definedName name="_xlnm._FilterDatabase" localSheetId="3" hidden="1">Congresses!$A$4:$H$424</definedName>
    <definedName name="_xlnm._FilterDatabase" localSheetId="2" hidden="1">Guidelines!$A$4:$I$54</definedName>
    <definedName name="_xlnm._FilterDatabase" localSheetId="0" hidden="1">Journals!$A$4:$F$216</definedName>
    <definedName name="_xlnm._FilterDatabase" localSheetId="4" hidden="1">'Patient Organisations'!$A$4:$H$83</definedName>
    <definedName name="_xlnm._FilterDatabase" localSheetId="6" hidden="1">'Payor Drug Evaluation Groups'!$A$4:$H$4</definedName>
    <definedName name="_xlnm._FilterDatabase" localSheetId="9" hidden="1">'Private Clinics'!$A$4:$G$35</definedName>
    <definedName name="_xlnm._FilterDatabase" localSheetId="5" hidden="1">'Professional Organisations'!$A$4:$H$4</definedName>
    <definedName name="_xlnm._FilterDatabase" localSheetId="10" hidden="1">Publications!$A$6:$F$123</definedName>
    <definedName name="_xlnm._FilterDatabase" localSheetId="7" hidden="1">'Regulatory Agencies'!$A$4:$H$4</definedName>
    <definedName name="Z_2D811C32_FD73_4975_B2DF_EE3D43CC76F3_.wvu.FilterData" localSheetId="1" hidden="1">'Clinical Trials'!$A$1:$G$4</definedName>
  </definedNames>
  <calcPr calcId="144525"/>
  <customWorkbookViews>
    <customWorkbookView name="Filter 1" guid="{2D811C32-FD73-4975-B2DF-EE3D43CC76F3}" maximized="1" windowWidth="0" windowHeight="0" activeSheetId="0"/>
  </customWorkbookViews>
</workbook>
</file>

<file path=xl/calcChain.xml><?xml version="1.0" encoding="utf-8"?>
<calcChain xmlns="http://schemas.openxmlformats.org/spreadsheetml/2006/main">
  <c r="B101" i="36" l="1"/>
  <c r="B100" i="36"/>
  <c r="B99" i="36"/>
  <c r="B34" i="36" l="1"/>
  <c r="B33" i="36"/>
  <c r="B32" i="36"/>
  <c r="B31" i="36"/>
  <c r="B35" i="41" l="1"/>
  <c r="B34" i="41"/>
  <c r="B33" i="41"/>
  <c r="B32" i="41"/>
  <c r="B31" i="41"/>
  <c r="B30" i="41"/>
  <c r="B29" i="41"/>
  <c r="B28" i="41"/>
  <c r="B27" i="41"/>
  <c r="B26" i="41"/>
  <c r="B25" i="41"/>
  <c r="B24" i="41"/>
  <c r="B23" i="41"/>
  <c r="B22" i="41"/>
  <c r="B21" i="41"/>
  <c r="B20" i="41"/>
  <c r="B19" i="41"/>
  <c r="B18" i="41"/>
  <c r="B17" i="41"/>
  <c r="B16" i="41"/>
  <c r="B15" i="41"/>
  <c r="B14" i="41"/>
  <c r="B13" i="41"/>
  <c r="B12" i="41"/>
  <c r="B11" i="41"/>
  <c r="B10" i="41"/>
  <c r="B9" i="41"/>
  <c r="B8" i="41"/>
  <c r="B7" i="41"/>
  <c r="B6" i="41"/>
  <c r="B5" i="41"/>
  <c r="B90" i="40"/>
  <c r="B89" i="40"/>
  <c r="B88" i="40"/>
  <c r="B87" i="40"/>
  <c r="B86" i="40"/>
  <c r="B85" i="40"/>
  <c r="B84" i="40"/>
  <c r="B83" i="40"/>
  <c r="B82" i="40"/>
  <c r="B81" i="40"/>
  <c r="B80" i="40"/>
  <c r="B79" i="40"/>
  <c r="B78" i="40"/>
  <c r="B77" i="40"/>
  <c r="B76" i="40"/>
  <c r="B75" i="40"/>
  <c r="B74" i="40"/>
  <c r="B73" i="40"/>
  <c r="B72" i="40"/>
  <c r="B71" i="40"/>
  <c r="B70" i="40"/>
  <c r="B69" i="40"/>
  <c r="B68" i="40"/>
  <c r="B67" i="40"/>
  <c r="B66" i="40"/>
  <c r="B65" i="40"/>
  <c r="B64" i="40"/>
  <c r="B63" i="40"/>
  <c r="B62" i="40"/>
  <c r="B61" i="40"/>
  <c r="B60" i="40"/>
  <c r="B59" i="40"/>
  <c r="B58" i="40"/>
  <c r="B57" i="40"/>
  <c r="B56" i="40"/>
  <c r="B55" i="40"/>
  <c r="B54" i="40"/>
  <c r="B53" i="40"/>
  <c r="B52" i="40"/>
  <c r="B51" i="40"/>
  <c r="B50" i="40"/>
  <c r="B49" i="40"/>
  <c r="B48" i="40"/>
  <c r="B47" i="40"/>
  <c r="B46" i="40"/>
  <c r="B45" i="40"/>
  <c r="B44" i="40"/>
  <c r="B43" i="40"/>
  <c r="B42" i="40"/>
  <c r="B41" i="40"/>
  <c r="B40" i="40"/>
  <c r="B39" i="40"/>
  <c r="B38" i="40"/>
  <c r="B37" i="40"/>
  <c r="B36" i="40"/>
  <c r="B35" i="40"/>
  <c r="B34" i="40"/>
  <c r="B33" i="40"/>
  <c r="B32" i="40"/>
  <c r="B31" i="40"/>
  <c r="B30" i="40"/>
  <c r="B29" i="40"/>
  <c r="B28" i="40"/>
  <c r="B27" i="40"/>
  <c r="B26" i="40"/>
  <c r="B25" i="40"/>
  <c r="B24" i="40"/>
  <c r="B23" i="40"/>
  <c r="B22" i="40"/>
  <c r="B21" i="40"/>
  <c r="B20" i="40"/>
  <c r="B19" i="40"/>
  <c r="B18" i="40"/>
  <c r="B17" i="40"/>
  <c r="B16" i="40"/>
  <c r="B15" i="40"/>
  <c r="B14" i="40"/>
  <c r="B13" i="40"/>
  <c r="B12" i="40"/>
  <c r="B11" i="40"/>
  <c r="B10" i="40"/>
  <c r="B9" i="40"/>
  <c r="B8" i="40"/>
  <c r="B7" i="40"/>
  <c r="B6" i="40"/>
  <c r="B5" i="40"/>
  <c r="B30" i="2" l="1"/>
  <c r="B315" i="36" l="1"/>
  <c r="B26" i="36" l="1"/>
  <c r="B43" i="36"/>
  <c r="B56" i="38" l="1"/>
  <c r="B34" i="37"/>
  <c r="B22" i="3"/>
  <c r="B52" i="5" l="1"/>
  <c r="B47" i="5"/>
  <c r="B53" i="5"/>
  <c r="B54" i="5"/>
  <c r="B30" i="37" l="1"/>
  <c r="B188" i="18"/>
  <c r="B170" i="18"/>
  <c r="B95" i="18"/>
  <c r="B66" i="18"/>
  <c r="B165" i="18"/>
  <c r="B185" i="36" l="1"/>
  <c r="B186" i="36"/>
  <c r="B252" i="36"/>
  <c r="B49" i="36"/>
  <c r="B45" i="36"/>
  <c r="B293" i="36"/>
  <c r="B70" i="36"/>
  <c r="B418" i="36"/>
  <c r="B300" i="36"/>
  <c r="B390" i="36"/>
  <c r="B389" i="36"/>
  <c r="B38" i="36"/>
  <c r="B188" i="36"/>
  <c r="B187" i="36"/>
  <c r="B166" i="36"/>
  <c r="B165" i="36"/>
  <c r="B178" i="36"/>
  <c r="B177" i="36"/>
  <c r="B181" i="36"/>
  <c r="B180" i="36"/>
  <c r="B179" i="36"/>
  <c r="B175" i="36"/>
  <c r="B119" i="36"/>
  <c r="B118" i="36"/>
  <c r="B30" i="36"/>
  <c r="B29" i="36"/>
  <c r="B28" i="36"/>
  <c r="B69" i="36"/>
  <c r="B68" i="36"/>
  <c r="B67" i="36"/>
  <c r="B66" i="36"/>
  <c r="B402" i="36"/>
  <c r="B401" i="36"/>
  <c r="B400" i="36"/>
  <c r="B399" i="36"/>
  <c r="B380" i="36"/>
  <c r="B420" i="36"/>
  <c r="B419" i="36"/>
  <c r="B417" i="36"/>
  <c r="B416" i="36"/>
  <c r="B10" i="36"/>
  <c r="B9" i="36"/>
  <c r="B27" i="36"/>
  <c r="B258" i="36"/>
  <c r="B257" i="36"/>
  <c r="B256" i="36"/>
  <c r="B255" i="36"/>
  <c r="B254" i="36"/>
  <c r="B253" i="36"/>
  <c r="B251" i="36"/>
  <c r="B250" i="36"/>
  <c r="B249" i="36"/>
  <c r="B268" i="36"/>
  <c r="B267" i="36"/>
  <c r="B266" i="36"/>
  <c r="B265" i="36"/>
  <c r="B264" i="36"/>
  <c r="B302" i="36"/>
  <c r="B301" i="36"/>
  <c r="B299" i="36"/>
  <c r="B298" i="36"/>
  <c r="B398" i="36"/>
  <c r="B35" i="36"/>
  <c r="B48" i="36"/>
  <c r="B47" i="36"/>
  <c r="B46" i="36"/>
  <c r="B198" i="36"/>
  <c r="B197" i="36"/>
  <c r="B242" i="36"/>
  <c r="B260" i="36"/>
  <c r="B320" i="36"/>
  <c r="B137" i="36"/>
  <c r="B235" i="36"/>
  <c r="B236" i="36"/>
  <c r="B234" i="36"/>
  <c r="B158" i="36"/>
  <c r="B160" i="36"/>
  <c r="B157" i="36"/>
  <c r="B156" i="36"/>
  <c r="B159" i="36"/>
  <c r="B245" i="36"/>
  <c r="B244" i="36"/>
  <c r="B243" i="36"/>
  <c r="B241" i="36"/>
  <c r="B349" i="36"/>
  <c r="B348" i="36"/>
  <c r="B347" i="36"/>
  <c r="B195" i="36"/>
  <c r="B194" i="36"/>
  <c r="B196" i="36"/>
  <c r="B193" i="36"/>
  <c r="B261" i="36"/>
  <c r="B263" i="36"/>
  <c r="B262" i="36"/>
  <c r="B259" i="36"/>
  <c r="B65" i="36"/>
  <c r="B64" i="36"/>
  <c r="B63" i="36"/>
  <c r="B62" i="36"/>
  <c r="B61" i="36"/>
  <c r="B323" i="36"/>
  <c r="B322" i="36"/>
  <c r="B314" i="36"/>
  <c r="B313" i="36"/>
  <c r="B312" i="36"/>
  <c r="B311" i="36"/>
  <c r="B321" i="36"/>
  <c r="B307" i="36"/>
  <c r="B305" i="36"/>
  <c r="B304" i="36"/>
  <c r="B306" i="36"/>
  <c r="B303" i="36"/>
  <c r="B341" i="36"/>
  <c r="B339" i="36"/>
  <c r="B342" i="36"/>
  <c r="B340" i="36"/>
  <c r="B338" i="36"/>
  <c r="B138" i="36"/>
  <c r="B136" i="36"/>
  <c r="B135" i="36"/>
  <c r="B134" i="36"/>
  <c r="B366" i="36"/>
  <c r="B365" i="36"/>
  <c r="B364" i="36"/>
  <c r="B363" i="36"/>
  <c r="B362" i="36"/>
  <c r="B352" i="36"/>
  <c r="B351" i="36"/>
  <c r="B350" i="36"/>
  <c r="B391" i="36"/>
  <c r="B393" i="36"/>
  <c r="B388" i="36"/>
  <c r="B387" i="36"/>
  <c r="B386" i="36"/>
  <c r="B370" i="36"/>
  <c r="B369" i="36"/>
  <c r="B368" i="36"/>
  <c r="B395" i="36"/>
  <c r="B394" i="36"/>
  <c r="B392" i="36"/>
  <c r="B414" i="36"/>
  <c r="B412" i="36"/>
  <c r="B411" i="36"/>
  <c r="B409" i="36"/>
  <c r="B410" i="36"/>
  <c r="B413" i="36"/>
  <c r="B408" i="36"/>
  <c r="B31" i="37"/>
  <c r="B84" i="38"/>
  <c r="B82" i="38"/>
  <c r="B12" i="3"/>
  <c r="B34" i="3"/>
  <c r="B46" i="3"/>
  <c r="B79" i="3"/>
  <c r="B118" i="3"/>
  <c r="B135" i="3"/>
  <c r="B131" i="3"/>
  <c r="B74" i="3"/>
  <c r="B71" i="3"/>
  <c r="B70" i="3"/>
  <c r="B104" i="3"/>
  <c r="B6" i="3"/>
  <c r="B9" i="3"/>
  <c r="B27" i="3"/>
  <c r="B25" i="3"/>
  <c r="B20" i="3"/>
  <c r="B23" i="3"/>
  <c r="B52" i="3"/>
  <c r="B8" i="3"/>
  <c r="B42" i="3"/>
  <c r="B44" i="3"/>
  <c r="B41" i="3"/>
  <c r="B47" i="3"/>
  <c r="B48" i="3"/>
  <c r="B10" i="3"/>
  <c r="B95" i="3"/>
  <c r="B15" i="3"/>
  <c r="B55" i="3"/>
  <c r="B54" i="3"/>
  <c r="B39" i="3"/>
  <c r="B97" i="3"/>
  <c r="B83" i="3"/>
  <c r="B117" i="3"/>
  <c r="B132" i="3"/>
  <c r="B137" i="3"/>
  <c r="B127" i="3"/>
  <c r="B58" i="3"/>
  <c r="B57" i="3"/>
  <c r="B61" i="3"/>
  <c r="B65" i="3"/>
  <c r="B73" i="3"/>
  <c r="B86" i="3"/>
  <c r="B85" i="3"/>
  <c r="B93" i="3"/>
  <c r="B88" i="3"/>
  <c r="B87" i="3"/>
  <c r="B103" i="3"/>
  <c r="B101" i="3"/>
  <c r="B110" i="3"/>
  <c r="B107" i="3"/>
  <c r="B109" i="3"/>
  <c r="B105" i="3"/>
  <c r="B115" i="3"/>
  <c r="B33" i="3"/>
  <c r="B122" i="3"/>
  <c r="B129" i="3"/>
  <c r="B121" i="3"/>
  <c r="B130" i="3"/>
  <c r="B136" i="3"/>
  <c r="B73" i="2"/>
  <c r="B65" i="2"/>
  <c r="B41" i="2"/>
  <c r="B62" i="2"/>
  <c r="B83" i="2"/>
  <c r="B81" i="2"/>
  <c r="B70" i="2"/>
  <c r="B39" i="5"/>
  <c r="B23" i="5"/>
  <c r="B10" i="5"/>
  <c r="B51" i="5"/>
  <c r="B50" i="5"/>
  <c r="B48" i="5"/>
  <c r="B46" i="5"/>
  <c r="B45" i="5"/>
  <c r="B44" i="5"/>
  <c r="B43" i="5"/>
  <c r="B42" i="5"/>
  <c r="B41" i="5"/>
  <c r="B40" i="5"/>
  <c r="B38" i="5"/>
  <c r="B37" i="5"/>
  <c r="B36" i="5"/>
  <c r="B35" i="5"/>
  <c r="B34" i="5"/>
  <c r="B33" i="5"/>
  <c r="B32" i="5"/>
  <c r="B31" i="5"/>
  <c r="B30" i="5"/>
  <c r="B29" i="5"/>
  <c r="B28" i="5"/>
  <c r="B27" i="5"/>
  <c r="B26" i="5"/>
  <c r="B25" i="5"/>
  <c r="B24" i="5"/>
  <c r="B22" i="5"/>
  <c r="B21" i="5"/>
  <c r="B20" i="5"/>
  <c r="B19" i="5"/>
  <c r="B18" i="5"/>
  <c r="B17" i="5"/>
  <c r="B16" i="5"/>
  <c r="B15" i="5"/>
  <c r="B14" i="5"/>
  <c r="B13" i="5"/>
  <c r="B12" i="5"/>
  <c r="B11" i="5"/>
  <c r="B9" i="5"/>
  <c r="B8" i="5"/>
  <c r="B7" i="5"/>
  <c r="B6" i="5"/>
  <c r="B5" i="5"/>
  <c r="B55" i="18"/>
  <c r="B200" i="18"/>
  <c r="B133" i="18"/>
  <c r="B14" i="18"/>
  <c r="B84" i="18"/>
  <c r="B98" i="18"/>
  <c r="B79" i="18"/>
  <c r="B45" i="18"/>
  <c r="B179" i="18"/>
  <c r="B141" i="18"/>
  <c r="B124" i="18"/>
  <c r="B35" i="18"/>
  <c r="B126" i="18"/>
  <c r="B210" i="18"/>
  <c r="B183" i="18"/>
  <c r="B24" i="18"/>
  <c r="B189" i="18"/>
  <c r="B54" i="18"/>
  <c r="B111" i="18"/>
  <c r="B151" i="18"/>
  <c r="B147" i="18"/>
  <c r="B157" i="18"/>
  <c r="B192" i="18"/>
  <c r="B59" i="18"/>
  <c r="B172" i="18"/>
  <c r="B15" i="18"/>
  <c r="B73" i="18"/>
  <c r="B139" i="18"/>
  <c r="B166" i="18"/>
  <c r="B150" i="18"/>
  <c r="B138" i="18"/>
  <c r="B171" i="18"/>
  <c r="B122" i="18"/>
  <c r="B215" i="18"/>
  <c r="B87" i="18"/>
  <c r="B129" i="18"/>
  <c r="B46" i="18"/>
  <c r="B168" i="18"/>
  <c r="B143" i="18"/>
  <c r="B196" i="18"/>
  <c r="B128" i="18"/>
  <c r="B101" i="18"/>
  <c r="B80" i="18"/>
  <c r="B182" i="18"/>
  <c r="B76" i="18"/>
  <c r="B208" i="18"/>
  <c r="B89" i="18"/>
  <c r="B47" i="18"/>
  <c r="B31" i="18"/>
  <c r="B32" i="18"/>
  <c r="B136" i="18"/>
  <c r="B167" i="18"/>
  <c r="B190" i="18"/>
  <c r="B156" i="18"/>
  <c r="B65" i="18"/>
  <c r="B174" i="18"/>
  <c r="B155" i="18"/>
  <c r="B135" i="18"/>
  <c r="B134" i="18"/>
  <c r="B169" i="18"/>
  <c r="B160" i="18"/>
  <c r="B164" i="18"/>
  <c r="B118" i="18"/>
  <c r="B26" i="18"/>
  <c r="B43" i="18"/>
  <c r="B114" i="18"/>
  <c r="B61" i="18"/>
  <c r="B181" i="18"/>
  <c r="B180" i="18"/>
  <c r="B115" i="18"/>
  <c r="B75" i="18"/>
  <c r="B113" i="18"/>
  <c r="B159" i="18"/>
  <c r="B83" i="18"/>
  <c r="B103" i="18"/>
  <c r="B96" i="18"/>
  <c r="B70" i="18"/>
  <c r="B107" i="18"/>
  <c r="B149" i="18"/>
  <c r="B193" i="18"/>
  <c r="B154" i="18"/>
  <c r="B205" i="18"/>
  <c r="B82" i="18"/>
  <c r="B148" i="18"/>
  <c r="B78" i="18"/>
  <c r="B116" i="18"/>
  <c r="B106" i="18"/>
  <c r="B57" i="18"/>
  <c r="B202" i="18"/>
  <c r="B29" i="18"/>
  <c r="B130" i="18"/>
  <c r="B85" i="18"/>
  <c r="B145" i="18"/>
  <c r="B140" i="18"/>
  <c r="B199" i="18"/>
  <c r="B34" i="18"/>
  <c r="B144" i="18"/>
  <c r="B112" i="18"/>
  <c r="B153" i="18"/>
  <c r="B33" i="18"/>
  <c r="B127" i="18"/>
  <c r="B92" i="18"/>
  <c r="B93" i="18" l="1"/>
  <c r="B80" i="3" l="1"/>
  <c r="B88" i="38" l="1"/>
  <c r="B87" i="38"/>
  <c r="B86" i="38"/>
  <c r="B85" i="38"/>
  <c r="B83" i="38"/>
  <c r="B81" i="38"/>
  <c r="B80" i="38"/>
  <c r="B79" i="38"/>
  <c r="B78" i="38"/>
  <c r="B77" i="38"/>
  <c r="B76" i="38"/>
  <c r="B75" i="38"/>
  <c r="B74" i="38"/>
  <c r="B73" i="38"/>
  <c r="B72" i="38"/>
  <c r="B71" i="38"/>
  <c r="B70" i="38"/>
  <c r="B69" i="38"/>
  <c r="B68" i="38"/>
  <c r="B67" i="38"/>
  <c r="B66" i="38"/>
  <c r="B65" i="38"/>
  <c r="B64" i="38"/>
  <c r="B63" i="38"/>
  <c r="B62" i="38"/>
  <c r="B61" i="38"/>
  <c r="B60" i="38"/>
  <c r="B59" i="38"/>
  <c r="B58" i="38"/>
  <c r="B57" i="38"/>
  <c r="B55" i="38"/>
  <c r="B54" i="38"/>
  <c r="B53" i="38"/>
  <c r="B52" i="38"/>
  <c r="B51" i="38"/>
  <c r="B50" i="38"/>
  <c r="B49" i="38"/>
  <c r="B48" i="38"/>
  <c r="B47" i="38"/>
  <c r="B46" i="38"/>
  <c r="B45" i="38"/>
  <c r="B44" i="38"/>
  <c r="B43" i="38"/>
  <c r="B42" i="38"/>
  <c r="B41" i="38"/>
  <c r="B40" i="38"/>
  <c r="B39" i="38"/>
  <c r="B38" i="38"/>
  <c r="B37" i="38"/>
  <c r="B36" i="38"/>
  <c r="B35" i="38"/>
  <c r="B34" i="38"/>
  <c r="B33" i="38"/>
  <c r="B32" i="38"/>
  <c r="B31" i="38"/>
  <c r="B30" i="38"/>
  <c r="B29" i="38"/>
  <c r="B28" i="38"/>
  <c r="B27" i="38"/>
  <c r="B26" i="38"/>
  <c r="B25" i="38"/>
  <c r="B24" i="38"/>
  <c r="B23" i="38"/>
  <c r="B22" i="38"/>
  <c r="B21" i="38"/>
  <c r="B20" i="38"/>
  <c r="B19" i="38"/>
  <c r="B18" i="38"/>
  <c r="B17" i="38"/>
  <c r="B16" i="38"/>
  <c r="B15" i="38"/>
  <c r="B14" i="38"/>
  <c r="B13" i="38"/>
  <c r="B12" i="38"/>
  <c r="B11" i="38"/>
  <c r="B10" i="38"/>
  <c r="B9" i="38"/>
  <c r="B8" i="38"/>
  <c r="B7" i="38"/>
  <c r="B6" i="38"/>
  <c r="B5" i="38"/>
  <c r="B49" i="37"/>
  <c r="B48" i="37"/>
  <c r="B47" i="37"/>
  <c r="B46" i="37"/>
  <c r="B45" i="37"/>
  <c r="B44" i="37"/>
  <c r="B43" i="37"/>
  <c r="B42" i="37"/>
  <c r="B41" i="37"/>
  <c r="B40" i="37"/>
  <c r="B39" i="37"/>
  <c r="B38" i="37"/>
  <c r="B37" i="37"/>
  <c r="B36" i="37"/>
  <c r="B35" i="37"/>
  <c r="B33" i="37"/>
  <c r="B32" i="37"/>
  <c r="B29" i="37"/>
  <c r="B28" i="37"/>
  <c r="B27" i="37"/>
  <c r="B26" i="37"/>
  <c r="B25" i="37"/>
  <c r="B24" i="37"/>
  <c r="B23" i="37"/>
  <c r="B22" i="37"/>
  <c r="B21" i="37"/>
  <c r="B20" i="37"/>
  <c r="B19" i="37"/>
  <c r="B18" i="37"/>
  <c r="B17" i="37"/>
  <c r="B16" i="37"/>
  <c r="B15" i="37"/>
  <c r="B14" i="37"/>
  <c r="B13" i="37"/>
  <c r="B12" i="37"/>
  <c r="B11" i="37"/>
  <c r="B10" i="37"/>
  <c r="B9" i="37"/>
  <c r="B8" i="37"/>
  <c r="B7" i="37"/>
  <c r="B6" i="37"/>
  <c r="B5" i="37"/>
  <c r="B11" i="36" l="1"/>
  <c r="B422" i="36"/>
  <c r="B405" i="36"/>
  <c r="B373" i="36"/>
  <c r="B356" i="36"/>
  <c r="B335" i="36"/>
  <c r="B331" i="36"/>
  <c r="B60" i="36"/>
  <c r="B16" i="36"/>
  <c r="B17" i="36"/>
  <c r="B143" i="36"/>
  <c r="B296" i="36"/>
  <c r="B292" i="36"/>
  <c r="B287" i="36"/>
  <c r="B281" i="36"/>
  <c r="B271" i="36"/>
  <c r="B238" i="36"/>
  <c r="B125" i="36"/>
  <c r="B217" i="36"/>
  <c r="B207" i="36"/>
  <c r="B192" i="36"/>
  <c r="B182" i="36"/>
  <c r="B168" i="36"/>
  <c r="B149" i="36"/>
  <c r="B128" i="36"/>
  <c r="B114" i="36"/>
  <c r="B5" i="36"/>
  <c r="B91" i="36"/>
  <c r="B81" i="36"/>
  <c r="B424" i="36"/>
  <c r="B423" i="36"/>
  <c r="B421" i="36"/>
  <c r="B415" i="36"/>
  <c r="B407" i="36"/>
  <c r="B406" i="36"/>
  <c r="B404" i="36"/>
  <c r="B403" i="36"/>
  <c r="B397" i="36"/>
  <c r="B396" i="36"/>
  <c r="B385" i="36"/>
  <c r="B384" i="36"/>
  <c r="B383" i="36"/>
  <c r="B382" i="36"/>
  <c r="B381" i="36"/>
  <c r="B379" i="36"/>
  <c r="B378" i="36"/>
  <c r="B377" i="36"/>
  <c r="B376" i="36"/>
  <c r="B375" i="36"/>
  <c r="B374" i="36"/>
  <c r="B372" i="36"/>
  <c r="B371" i="36"/>
  <c r="B367" i="36"/>
  <c r="B357" i="36"/>
  <c r="B361" i="36"/>
  <c r="B360" i="36"/>
  <c r="B359" i="36"/>
  <c r="B358" i="36"/>
  <c r="B355" i="36"/>
  <c r="B354" i="36"/>
  <c r="B353" i="36"/>
  <c r="B346" i="36"/>
  <c r="B345" i="36"/>
  <c r="B344" i="36"/>
  <c r="B343" i="36"/>
  <c r="B337" i="36"/>
  <c r="B336" i="36"/>
  <c r="B334" i="36"/>
  <c r="B333" i="36"/>
  <c r="B332" i="36"/>
  <c r="B330" i="36"/>
  <c r="B329" i="36"/>
  <c r="B328" i="36"/>
  <c r="B327" i="36"/>
  <c r="B326" i="36"/>
  <c r="B325" i="36"/>
  <c r="B324" i="36"/>
  <c r="B319" i="36"/>
  <c r="B318" i="36"/>
  <c r="B317" i="36"/>
  <c r="B316" i="36"/>
  <c r="B310" i="36"/>
  <c r="B309" i="36"/>
  <c r="B308" i="36"/>
  <c r="B79" i="36"/>
  <c r="B78" i="36"/>
  <c r="B15" i="36"/>
  <c r="B14" i="36"/>
  <c r="B13" i="36"/>
  <c r="B12" i="36"/>
  <c r="B59" i="36"/>
  <c r="B58" i="36"/>
  <c r="B57" i="36"/>
  <c r="B56" i="36"/>
  <c r="B297" i="36"/>
  <c r="B295" i="36"/>
  <c r="B294" i="36"/>
  <c r="B55" i="36"/>
  <c r="B54" i="36"/>
  <c r="B53" i="36"/>
  <c r="B52" i="36"/>
  <c r="B51" i="36"/>
  <c r="B77" i="36"/>
  <c r="B76" i="36"/>
  <c r="B291" i="36"/>
  <c r="B290" i="36"/>
  <c r="B289" i="36"/>
  <c r="B288" i="36"/>
  <c r="B286" i="36"/>
  <c r="B285" i="36"/>
  <c r="B284" i="36"/>
  <c r="B283" i="36"/>
  <c r="B282" i="36"/>
  <c r="B280" i="36"/>
  <c r="B279" i="36"/>
  <c r="B278" i="36"/>
  <c r="B277" i="36"/>
  <c r="B276" i="36"/>
  <c r="B275" i="36"/>
  <c r="B274" i="36"/>
  <c r="B273" i="36"/>
  <c r="B272" i="36"/>
  <c r="B270" i="36"/>
  <c r="B269" i="36"/>
  <c r="B248" i="36"/>
  <c r="B247" i="36"/>
  <c r="B246" i="36"/>
  <c r="B240" i="36"/>
  <c r="B239" i="36"/>
  <c r="B237" i="36"/>
  <c r="B233" i="36"/>
  <c r="B232" i="36"/>
  <c r="B231" i="36"/>
  <c r="B230" i="36"/>
  <c r="B229" i="36"/>
  <c r="B228" i="36"/>
  <c r="B227" i="36"/>
  <c r="B124" i="36"/>
  <c r="B226" i="36"/>
  <c r="B225" i="36"/>
  <c r="B224" i="36"/>
  <c r="B223" i="36"/>
  <c r="B222" i="36"/>
  <c r="B221" i="36"/>
  <c r="B220" i="36"/>
  <c r="B219" i="36"/>
  <c r="B218" i="36"/>
  <c r="B216" i="36"/>
  <c r="B215" i="36"/>
  <c r="B213" i="36"/>
  <c r="B212" i="36"/>
  <c r="B211" i="36"/>
  <c r="B210" i="36"/>
  <c r="B209" i="36"/>
  <c r="B208" i="36"/>
  <c r="B206" i="36"/>
  <c r="B205" i="36"/>
  <c r="B204" i="36"/>
  <c r="B203" i="36"/>
  <c r="B202" i="36"/>
  <c r="B201" i="36"/>
  <c r="B200" i="36"/>
  <c r="B199" i="36"/>
  <c r="B191" i="36"/>
  <c r="B190" i="36"/>
  <c r="B189" i="36"/>
  <c r="B184" i="36"/>
  <c r="B183" i="36"/>
  <c r="B176" i="36"/>
  <c r="B174" i="36"/>
  <c r="B173" i="36"/>
  <c r="B172" i="36"/>
  <c r="B171" i="36"/>
  <c r="B170" i="36"/>
  <c r="B169" i="36"/>
  <c r="B167" i="36"/>
  <c r="B164" i="36"/>
  <c r="B163" i="36"/>
  <c r="B162" i="36"/>
  <c r="B161" i="36"/>
  <c r="B155" i="36"/>
  <c r="B154" i="36"/>
  <c r="B153" i="36"/>
  <c r="B152" i="36"/>
  <c r="B151" i="36"/>
  <c r="B150" i="36"/>
  <c r="B148" i="36"/>
  <c r="B147" i="36"/>
  <c r="B146" i="36"/>
  <c r="B145" i="36"/>
  <c r="B144" i="36"/>
  <c r="B142" i="36"/>
  <c r="B141" i="36"/>
  <c r="B140" i="36"/>
  <c r="B139" i="36"/>
  <c r="B133" i="36"/>
  <c r="B132" i="36"/>
  <c r="B131" i="36"/>
  <c r="B130" i="36"/>
  <c r="B129" i="36"/>
  <c r="B127" i="36"/>
  <c r="B19" i="36"/>
  <c r="B20" i="36"/>
  <c r="B18" i="36"/>
  <c r="B126" i="36"/>
  <c r="B123" i="36"/>
  <c r="B122" i="36"/>
  <c r="B121" i="36"/>
  <c r="B120" i="36"/>
  <c r="B117" i="36"/>
  <c r="B116" i="36"/>
  <c r="B115" i="36"/>
  <c r="B113" i="36"/>
  <c r="B214" i="36"/>
  <c r="B112" i="36"/>
  <c r="B111" i="36"/>
  <c r="B110" i="36"/>
  <c r="B109" i="36"/>
  <c r="B107" i="36"/>
  <c r="B108" i="36"/>
  <c r="B8" i="36"/>
  <c r="B7" i="36"/>
  <c r="B6" i="36"/>
  <c r="B106" i="36"/>
  <c r="B105" i="36"/>
  <c r="B104" i="36"/>
  <c r="B103" i="36"/>
  <c r="B102" i="36"/>
  <c r="B97" i="36"/>
  <c r="B98" i="36"/>
  <c r="B96" i="36"/>
  <c r="B95" i="36"/>
  <c r="B94" i="36"/>
  <c r="B93" i="36"/>
  <c r="B92" i="36"/>
  <c r="B90" i="36"/>
  <c r="B89" i="36"/>
  <c r="B88" i="36"/>
  <c r="B87" i="36"/>
  <c r="B86" i="36"/>
  <c r="B85" i="36"/>
  <c r="B84" i="36"/>
  <c r="B83" i="36"/>
  <c r="B82" i="36"/>
  <c r="B80" i="36"/>
  <c r="B75" i="36"/>
  <c r="B74" i="36"/>
  <c r="B73" i="36"/>
  <c r="B72" i="36"/>
  <c r="B71" i="36"/>
  <c r="B50" i="36"/>
  <c r="B44" i="36"/>
  <c r="B41" i="36"/>
  <c r="B42" i="36"/>
  <c r="B40" i="36"/>
  <c r="B39" i="36"/>
  <c r="B37" i="36"/>
  <c r="B36" i="36"/>
  <c r="B25" i="36"/>
  <c r="B24" i="36"/>
  <c r="B23" i="36"/>
  <c r="B22" i="36"/>
  <c r="B21" i="36"/>
  <c r="B11" i="31"/>
  <c r="B11" i="3"/>
  <c r="B141" i="3"/>
  <c r="B21" i="3"/>
  <c r="B99" i="3"/>
  <c r="B111" i="3"/>
  <c r="B59" i="3"/>
  <c r="B13" i="3"/>
  <c r="B31" i="3"/>
  <c r="B30" i="3"/>
  <c r="B139" i="3"/>
  <c r="B133" i="3"/>
  <c r="B123" i="3"/>
  <c r="B102" i="3"/>
  <c r="B98" i="3"/>
  <c r="B76" i="3"/>
  <c r="B69" i="3"/>
  <c r="B68" i="3"/>
  <c r="B63" i="3"/>
  <c r="B51" i="3"/>
  <c r="B14" i="3"/>
  <c r="B7" i="3"/>
  <c r="B18" i="3"/>
  <c r="B36" i="3"/>
  <c r="B26" i="3"/>
  <c r="B143" i="3"/>
  <c r="B140" i="3"/>
  <c r="B126" i="3"/>
  <c r="B124" i="3"/>
  <c r="B116" i="3"/>
  <c r="B114" i="3"/>
  <c r="B108" i="3"/>
  <c r="B106" i="3"/>
  <c r="B96" i="3"/>
  <c r="B94" i="3"/>
  <c r="B91" i="3"/>
  <c r="B84" i="3"/>
  <c r="B82" i="3"/>
  <c r="B77" i="3"/>
  <c r="B64" i="3"/>
  <c r="B60" i="3"/>
  <c r="B49" i="3"/>
  <c r="B43" i="3"/>
  <c r="B38" i="3"/>
  <c r="B37" i="3"/>
  <c r="B29" i="3"/>
  <c r="B28" i="3"/>
  <c r="B24" i="3"/>
  <c r="B134" i="3"/>
  <c r="B128" i="3"/>
  <c r="B125" i="3"/>
  <c r="B120" i="3"/>
  <c r="B119" i="3"/>
  <c r="B113" i="3"/>
  <c r="B112" i="3"/>
  <c r="B100" i="3"/>
  <c r="B92" i="3"/>
  <c r="B90" i="3"/>
  <c r="B78" i="3"/>
  <c r="B75" i="3"/>
  <c r="B66" i="3"/>
  <c r="B56" i="3"/>
  <c r="B53" i="3"/>
  <c r="B45" i="3"/>
  <c r="B40" i="3"/>
  <c r="B16" i="3"/>
  <c r="B5" i="3"/>
  <c r="B35" i="3"/>
  <c r="B32" i="3"/>
  <c r="B89" i="3"/>
  <c r="B81" i="3"/>
  <c r="B62" i="3"/>
  <c r="B67" i="3"/>
  <c r="B50" i="3"/>
  <c r="B19" i="3"/>
  <c r="B142" i="3"/>
  <c r="B138" i="3"/>
  <c r="B72" i="3"/>
  <c r="B17" i="3"/>
  <c r="B76" i="2"/>
  <c r="B52" i="2"/>
  <c r="B33" i="2"/>
  <c r="B74" i="2"/>
  <c r="B51" i="2"/>
  <c r="B45" i="2"/>
  <c r="B16" i="2"/>
  <c r="B15" i="2"/>
  <c r="B11" i="2"/>
  <c r="B79" i="2"/>
  <c r="B78" i="2"/>
  <c r="B77" i="2"/>
  <c r="B71" i="2"/>
  <c r="B67" i="2"/>
  <c r="B63" i="2"/>
  <c r="B61" i="2"/>
  <c r="B59" i="2"/>
  <c r="B57" i="2"/>
  <c r="B55" i="2"/>
  <c r="B54" i="2"/>
  <c r="B50" i="2"/>
  <c r="B49" i="2"/>
  <c r="B48" i="2"/>
  <c r="B46" i="2"/>
  <c r="B44" i="2"/>
  <c r="B43" i="2"/>
  <c r="B40" i="2"/>
  <c r="B39" i="2"/>
  <c r="B38" i="2"/>
  <c r="B36" i="2"/>
  <c r="B35" i="2"/>
  <c r="B34" i="2"/>
  <c r="B29" i="2"/>
  <c r="B26" i="2"/>
  <c r="B25" i="2"/>
  <c r="B24" i="2"/>
  <c r="B23" i="2"/>
  <c r="B21" i="2"/>
  <c r="B19" i="2"/>
  <c r="B18" i="2"/>
  <c r="B9" i="2"/>
  <c r="B8" i="2"/>
  <c r="B14" i="2"/>
  <c r="B6" i="2"/>
  <c r="B5" i="2"/>
  <c r="B10" i="2"/>
  <c r="B27" i="2"/>
  <c r="B12" i="2"/>
  <c r="B68" i="2"/>
  <c r="B60" i="2"/>
  <c r="B53" i="2"/>
  <c r="B22" i="2"/>
  <c r="B13" i="2"/>
  <c r="B82" i="2"/>
  <c r="B75" i="2"/>
  <c r="B72" i="2"/>
  <c r="B69" i="2"/>
  <c r="B66" i="2"/>
  <c r="B64" i="2"/>
  <c r="B58" i="2"/>
  <c r="B56" i="2"/>
  <c r="B47" i="2"/>
  <c r="B42" i="2"/>
  <c r="B37" i="2"/>
  <c r="B31" i="2"/>
  <c r="B32" i="2"/>
  <c r="B28" i="2"/>
  <c r="B17" i="2"/>
  <c r="B20" i="2"/>
  <c r="B7" i="2"/>
  <c r="B80" i="2"/>
  <c r="B176" i="18"/>
  <c r="B201" i="18"/>
  <c r="B207" i="18"/>
  <c r="B158" i="18"/>
  <c r="B110" i="18"/>
  <c r="B120" i="18"/>
  <c r="B69" i="18"/>
  <c r="B197" i="18"/>
  <c r="B72" i="18"/>
  <c r="B214" i="18"/>
  <c r="B216" i="18"/>
  <c r="B185" i="18"/>
  <c r="B211" i="18"/>
  <c r="B18" i="18"/>
  <c r="B213" i="18"/>
  <c r="B212" i="18"/>
  <c r="B27" i="18"/>
  <c r="B173" i="18"/>
  <c r="B209" i="18"/>
  <c r="B206" i="18"/>
  <c r="B204" i="18"/>
  <c r="B203" i="18"/>
  <c r="B67" i="18"/>
  <c r="B194" i="18"/>
  <c r="B161" i="18"/>
  <c r="B137" i="18"/>
  <c r="B109" i="18"/>
  <c r="B131" i="18"/>
  <c r="B104" i="18"/>
  <c r="B108" i="18"/>
  <c r="B40" i="18"/>
  <c r="B39" i="18"/>
  <c r="B121" i="18"/>
  <c r="B77" i="18"/>
  <c r="B175" i="18"/>
  <c r="B119" i="18"/>
  <c r="B198" i="18"/>
  <c r="B48" i="18"/>
  <c r="B90" i="18"/>
  <c r="B163" i="18"/>
  <c r="B187" i="18"/>
  <c r="B49" i="18"/>
  <c r="B42" i="18"/>
  <c r="B38" i="18"/>
  <c r="B51" i="18"/>
  <c r="B162" i="18"/>
  <c r="B100" i="18"/>
  <c r="B62" i="18"/>
  <c r="B64" i="18"/>
  <c r="B142" i="18"/>
  <c r="B146" i="18"/>
  <c r="B102" i="18"/>
  <c r="B123" i="18"/>
  <c r="B105" i="18"/>
  <c r="B117" i="18"/>
  <c r="B41" i="18"/>
  <c r="B36" i="18"/>
  <c r="B37" i="18"/>
  <c r="B132" i="18"/>
  <c r="B52" i="18"/>
  <c r="B99" i="18"/>
  <c r="B81" i="18"/>
  <c r="B94" i="18"/>
  <c r="B86" i="18"/>
  <c r="B58" i="18"/>
  <c r="B68" i="18"/>
  <c r="B71" i="18"/>
  <c r="B74" i="18"/>
  <c r="B28" i="18"/>
  <c r="B53" i="18"/>
  <c r="B191" i="18"/>
  <c r="B184" i="18"/>
  <c r="B88" i="18"/>
  <c r="B97" i="18"/>
  <c r="B195" i="18"/>
  <c r="B50" i="18"/>
  <c r="B177" i="18"/>
  <c r="B91" i="18"/>
  <c r="B60" i="18"/>
  <c r="B125" i="18"/>
  <c r="B186" i="18"/>
  <c r="B63" i="18"/>
  <c r="B152" i="18"/>
  <c r="B56" i="18"/>
  <c r="B44" i="18"/>
  <c r="B178" i="18"/>
  <c r="B25" i="18"/>
  <c r="B19" i="18"/>
  <c r="B21" i="18"/>
  <c r="B16" i="18"/>
  <c r="B17" i="18"/>
  <c r="B8" i="18"/>
  <c r="B10" i="18"/>
  <c r="B23" i="18"/>
  <c r="B22" i="18"/>
  <c r="B30" i="18"/>
  <c r="B12" i="18"/>
  <c r="B20" i="18"/>
  <c r="B7" i="18"/>
  <c r="B9" i="18"/>
  <c r="B13" i="18"/>
  <c r="B11" i="18"/>
  <c r="B5" i="18"/>
  <c r="B6" i="18"/>
</calcChain>
</file>

<file path=xl/sharedStrings.xml><?xml version="1.0" encoding="utf-8"?>
<sst xmlns="http://schemas.openxmlformats.org/spreadsheetml/2006/main" count="5589" uniqueCount="2158">
  <si>
    <t>KOL Identification: Outline of Desk Research</t>
  </si>
  <si>
    <t xml:space="preserve">Information to be considered for inclusion: please complete the ‘comments’ column
Please also add any additional elements that you would like to be included within the research that is not listed below. 
</t>
  </si>
  <si>
    <t>S_No</t>
  </si>
  <si>
    <t>Journal</t>
  </si>
  <si>
    <t>Impact_Factor</t>
  </si>
  <si>
    <t>Reference_Link</t>
  </si>
  <si>
    <t>Comments</t>
  </si>
  <si>
    <t>https://www.thelancet.com/lancet-people</t>
  </si>
  <si>
    <t>https://www.nejm.org/about-nejm/editors-and-publishers</t>
  </si>
  <si>
    <t>Study_Title</t>
  </si>
  <si>
    <t>Condition/Intervention</t>
  </si>
  <si>
    <t>Trial_Code</t>
  </si>
  <si>
    <t>Activity_Region</t>
  </si>
  <si>
    <t>Activity_Country</t>
  </si>
  <si>
    <t>International</t>
  </si>
  <si>
    <t>National</t>
  </si>
  <si>
    <t>Italy</t>
  </si>
  <si>
    <t>United Kingdom</t>
  </si>
  <si>
    <t>United States of America</t>
  </si>
  <si>
    <t>Information to be considered for inclusion: please complete the ‘comments’ column
Please also add any additional elements that you would like to be included within the research that is not listed below.</t>
  </si>
  <si>
    <t>Guideline</t>
  </si>
  <si>
    <t>Therapeutic area</t>
  </si>
  <si>
    <t>Registered_Country_and_Headquarters</t>
  </si>
  <si>
    <t>Canada</t>
  </si>
  <si>
    <t>England</t>
  </si>
  <si>
    <t>Switzerland</t>
  </si>
  <si>
    <t>Payor_Drug_Evaluation_Group</t>
  </si>
  <si>
    <t>https://c-path.org/</t>
  </si>
  <si>
    <t>https://www.rti.org/</t>
  </si>
  <si>
    <t>https://www.fda.gov/about-fda/fda-organization/center-biologics-evaluation-and-research-cber</t>
  </si>
  <si>
    <t>https://www.fda.gov/about-fda/fda-organization/center-drug-evaluation-and-research-cder</t>
  </si>
  <si>
    <t>https://icer.org/</t>
  </si>
  <si>
    <t>https://www.fda.gov/aboutfda/centersoffices/oc/officeofscientificandmedicalprograms/nctr/default.htm</t>
  </si>
  <si>
    <t>https://www.fda.gov/aboutfda/centersoffices/officeofmedicalproductsandtobacco/officeofscienceandhealthcoordination/ucm2018190.htm</t>
  </si>
  <si>
    <t>https://www.fda.gov/aboutfda/centersoffices/officeofglobalregulatoryoperationsandpolicy/ora/default.htm</t>
  </si>
  <si>
    <t>https://www.ahrq.gov/research/findings/ta/index.html</t>
  </si>
  <si>
    <t>Regulatory_Agency</t>
  </si>
  <si>
    <t>Sweden</t>
  </si>
  <si>
    <t>https://www.acf.hhs.gov/</t>
  </si>
  <si>
    <t>https://www.ahrq.gov/</t>
  </si>
  <si>
    <t>https://www.nih.gov/about-nih/who-we-are</t>
  </si>
  <si>
    <t>http://www.fda.gov/</t>
  </si>
  <si>
    <t>https://www.hhs.gov/</t>
  </si>
  <si>
    <t>https://www.cdc.gov/index.htm</t>
  </si>
  <si>
    <t>Information to be considered for inclusion: please complete the ‘importance to team’ column
Please also add any additional elements that you would like to be included within the research that is not listed below.</t>
  </si>
  <si>
    <t>We will use the following terms to perform searches in the PubMed database to gather an initial list of KOLs. A list will be supplied showing the total number of publications for each individual identified from the searches.</t>
  </si>
  <si>
    <t>S.No</t>
  </si>
  <si>
    <t>List of Keyterms AND Synonyms (Health Economics)</t>
  </si>
  <si>
    <t>Budget Impact</t>
  </si>
  <si>
    <t>Clinical Outcomes</t>
  </si>
  <si>
    <t>Cost-Effectiveness</t>
  </si>
  <si>
    <t>Economic Analysis</t>
  </si>
  <si>
    <t>Economic Evaluation</t>
  </si>
  <si>
    <t>Economic Impact</t>
  </si>
  <si>
    <t>Epidemiology</t>
  </si>
  <si>
    <t>Health Economics</t>
  </si>
  <si>
    <t>Health Policy Analysis</t>
  </si>
  <si>
    <t>Health Technology Assessment</t>
  </si>
  <si>
    <t>Health-Related Quality of Life</t>
  </si>
  <si>
    <t>Incremental Cost Effectiveness Ratio</t>
  </si>
  <si>
    <t>Market Access</t>
  </si>
  <si>
    <t>Medicine Management</t>
  </si>
  <si>
    <t>Outcome Measure</t>
  </si>
  <si>
    <t>Outcome Research</t>
  </si>
  <si>
    <t>Patient-Reported Outcome</t>
  </si>
  <si>
    <t>Pharmacoeconomic</t>
  </si>
  <si>
    <t>Pharmacoepidemiology</t>
  </si>
  <si>
    <t>Quality of Care</t>
  </si>
  <si>
    <t>Quality-Adjusted Life Year</t>
  </si>
  <si>
    <t>Reimbursement</t>
  </si>
  <si>
    <t xml:space="preserve">Information to be considered for inclusion: please complete the ‘comments’ column
Please also add any additional elements that you would like to be included within the research that is not listed below.
</t>
  </si>
  <si>
    <t>Cost of Treatment</t>
  </si>
  <si>
    <t>Risk Assessment</t>
  </si>
  <si>
    <t>List of Keyterms AND Synonyms (Drug)</t>
  </si>
  <si>
    <t>List of Keyterms AND Synonyms (Drug Class)</t>
  </si>
  <si>
    <t>List of Keyterms AND Synonyms (Therapy)</t>
  </si>
  <si>
    <t>Cost of Illness</t>
  </si>
  <si>
    <t>Economic Burden</t>
  </si>
  <si>
    <t>Global Burden</t>
  </si>
  <si>
    <t>Health Care Cost</t>
  </si>
  <si>
    <t>Prevalence</t>
  </si>
  <si>
    <t>Burden of Illness/ Burden of Disease</t>
  </si>
  <si>
    <t>Caregiver Burden</t>
  </si>
  <si>
    <t>Comorbidity</t>
  </si>
  <si>
    <t>Cost Utility/ Cost-Benefit Analysis/ Cost Savings</t>
  </si>
  <si>
    <t>Disability-Adjusted Life-Years/ DALYs</t>
  </si>
  <si>
    <t>Real-World Evidence</t>
  </si>
  <si>
    <t>Socioeconomics/ Socio-economic Impact/ Socioeconomic Status</t>
  </si>
  <si>
    <t>France</t>
  </si>
  <si>
    <t>https://solidarites-sante.gouv.fr/ministere/acteurs/instances-rattachees/article/ceps-comite-economique-des-produits-de-sante</t>
  </si>
  <si>
    <t>https://assurance-maladie.ameli.fr/qui-sommes-nous</t>
  </si>
  <si>
    <t>Germany</t>
  </si>
  <si>
    <t>https://www.g-ba.de/</t>
  </si>
  <si>
    <t>https://www.gkv-spitzenverband.de/english/english.jsp</t>
  </si>
  <si>
    <t>https://www.agenas.it/</t>
  </si>
  <si>
    <t>https://assr.regione.emilia-romagna.it/</t>
  </si>
  <si>
    <t>Wales</t>
  </si>
  <si>
    <t>http://www.awmsg.org/</t>
  </si>
  <si>
    <t>https://www.ndph.ox.ac.uk/research/health-services-research-unit-hsru</t>
  </si>
  <si>
    <t>https://www.nice.org.uk/</t>
  </si>
  <si>
    <t>https://www.nihr.ac.uk/</t>
  </si>
  <si>
    <t>https://www.england.nhs.uk/medicines-2/commercial-medicines/commercial-medicines-unit/</t>
  </si>
  <si>
    <t>Scotland</t>
  </si>
  <si>
    <t>http://www.scottishmedicines.org.uk/</t>
  </si>
  <si>
    <t>https://www.inesss.qc.ca/en/about-us/about-the-institut.html</t>
  </si>
  <si>
    <t>http://www.pmprb-cepmb.gc.ca/home</t>
  </si>
  <si>
    <t>http://www.pdci.ca/about-us/</t>
  </si>
  <si>
    <t>Spain</t>
  </si>
  <si>
    <t>http://aquas.gencat.cat/ca/inici/</t>
  </si>
  <si>
    <t>https://www.aetsa.org/</t>
  </si>
  <si>
    <t>Japan</t>
  </si>
  <si>
    <t>Hong Kong</t>
  </si>
  <si>
    <t>http://www.ahwp.info/index.php/</t>
  </si>
  <si>
    <t>https://www.who.int/</t>
  </si>
  <si>
    <t>Regional</t>
  </si>
  <si>
    <t>Europe</t>
  </si>
  <si>
    <t>The Netherlands</t>
  </si>
  <si>
    <t>https://www.ema.europa.eu/en/committees/committee-medicinal-products-human-use-chmp</t>
  </si>
  <si>
    <t>https://www.edqm.eu/en/</t>
  </si>
  <si>
    <t>http://www.hma.eu/</t>
  </si>
  <si>
    <t>http://www.ema.europa.eu/</t>
  </si>
  <si>
    <t>Denmark</t>
  </si>
  <si>
    <t>https://www.who.int/europe/home?v=welcome</t>
  </si>
  <si>
    <t>https://www.has-sante.fr/</t>
  </si>
  <si>
    <t>http://solidarites-sante.gouv.fr/</t>
  </si>
  <si>
    <t>http://ansm.sante.fr/</t>
  </si>
  <si>
    <t>http://www.bfarm.de/DE/Home/home_node.html</t>
  </si>
  <si>
    <t>https://www.bundesgesundheitsministerium.de/</t>
  </si>
  <si>
    <t>https://www.pei.de/DE/home/home-node.html</t>
  </si>
  <si>
    <t>http://www.rki.de/EN/Home/homepage_node.html</t>
  </si>
  <si>
    <t>https://www.aifa.gov.it/</t>
  </si>
  <si>
    <t>http://www.salute.gov.it/portale/home.html</t>
  </si>
  <si>
    <t>http://www.iss.it/</t>
  </si>
  <si>
    <t>https://www.gov.uk/government/organisations/department-of-health-and-social-care</t>
  </si>
  <si>
    <t>http://www.pharmacyregulation.org/</t>
  </si>
  <si>
    <t>http://www.mhra.gov.uk/index.htm</t>
  </si>
  <si>
    <t>https://www.england.nhs.uk/</t>
  </si>
  <si>
    <t>https://www.nihr.ac.uk/explore-nihr/funding-programmes/health-technology-assessment.htm</t>
  </si>
  <si>
    <t>Northern Ireland</t>
  </si>
  <si>
    <t>https://www.publichealth.hscni.net/</t>
  </si>
  <si>
    <t>http://www.healthscotland.com/</t>
  </si>
  <si>
    <t>https://phw.nhs.wales/</t>
  </si>
  <si>
    <t>https://www.canada.ca/en/health-canada/corporate/about-health-canada/branches-agencies/health-products-food-branch.html</t>
  </si>
  <si>
    <t>https://www.canada.ca/en/health-canada.htm</t>
  </si>
  <si>
    <t>https://www.canada.ca/en/public-health.html</t>
  </si>
  <si>
    <t>https://www8.cao.go.jp/cstp/stmain.html</t>
  </si>
  <si>
    <t>https://www.jst.go.jp/</t>
  </si>
  <si>
    <t>https://www.amed.go.jp/index.html</t>
  </si>
  <si>
    <t>https://www.mext.go.jp/index.htm</t>
  </si>
  <si>
    <t>https://www.mhlw.go.jp/</t>
  </si>
  <si>
    <t>http://www.nihs.go.jp/index-j.html</t>
  </si>
  <si>
    <t>https://www.niph.go.jp/</t>
  </si>
  <si>
    <t>https://www.pmda.go.jp/index.html</t>
  </si>
  <si>
    <t>https://www.wam.go.jp/hp/saitemap_new-tabid-1197/</t>
  </si>
  <si>
    <t>https://www.sanidad.gob.es/</t>
  </si>
  <si>
    <t>https://www.ciencia.gob.es/</t>
  </si>
  <si>
    <t>https://www.aemps.gob.es/</t>
  </si>
  <si>
    <t>https://www.csic.es/es</t>
  </si>
  <si>
    <t>https://www.va.gov/health/</t>
  </si>
  <si>
    <t>National Institute for Health and Care Excellence</t>
  </si>
  <si>
    <t>Asia</t>
  </si>
  <si>
    <t>Argentina</t>
  </si>
  <si>
    <t>Australia</t>
  </si>
  <si>
    <t>https://www.nature.com/nature/about/editors</t>
  </si>
  <si>
    <t>https://www.science.org/journal/science</t>
  </si>
  <si>
    <t>https://www.cell.com/cell/editorial-board</t>
  </si>
  <si>
    <t>https://annals.org/aim/pages/about-us</t>
  </si>
  <si>
    <t>https://www.nature.com/cr/about/editorial-board</t>
  </si>
  <si>
    <t>https://onlinelibrary.wiley.com/page/journal/1469185x/homepage/editorialboard.html</t>
  </si>
  <si>
    <t>https://journals.plos.org/plosmedicine/s/editorial-board</t>
  </si>
  <si>
    <t>https://www.embopress.org/page/journal/14602075/editors</t>
  </si>
  <si>
    <t>https://jamanetwork.com/journals/jama</t>
  </si>
  <si>
    <t>N/A</t>
  </si>
  <si>
    <t>https://public4.pagefreezer.com/content/FDA/28-07-2023T13:45/https://www.fda.gov/about-fda/center-drug-evaluation-and-research-cder/office-biotechnology-products</t>
  </si>
  <si>
    <t>Congress</t>
  </si>
  <si>
    <t>http://www.bmj.com/about-bmj</t>
  </si>
  <si>
    <t>https://www.nature.com/nri/</t>
  </si>
  <si>
    <t>https://www.annualreviews.org/content/journals/immunol</t>
  </si>
  <si>
    <t>https://www.nature.com/ni/</t>
  </si>
  <si>
    <t>https://www.science.org/journal/sciimmunol</t>
  </si>
  <si>
    <t>https://www.nature.com/cmi/</t>
  </si>
  <si>
    <t>https://www.cell.com/trends/immunology/home</t>
  </si>
  <si>
    <t>https://home.liebertpub.com/publications/pediatric-allergy-immunology-and-pulmonology/48/overview</t>
  </si>
  <si>
    <t>https://www.sciencedirect.com/journal/current-opinion-in-immunology</t>
  </si>
  <si>
    <t>https://onlinelibrary.wiley.com/journal/13652567</t>
  </si>
  <si>
    <t>https://apjai-journal.org/</t>
  </si>
  <si>
    <t>https://onlinelibrary.wiley.com/journal/15214141</t>
  </si>
  <si>
    <t>https://e-century.us/web/journal.php?journal=ajcei</t>
  </si>
  <si>
    <t>https://www.eurannallergyimm.com/</t>
  </si>
  <si>
    <t>https://onlinelibrary.wiley.com/journal/20500068</t>
  </si>
  <si>
    <t>https://akjournals.com/view/journals/1886/1886-overview.xml</t>
  </si>
  <si>
    <t>https://www.frontierspartnerships.org/journals/journal-of-cutaneous-immunology-and-allergy</t>
  </si>
  <si>
    <t>https://www.sciencedirect.com/journal/annals-of-allergy-asthma-and-immunology</t>
  </si>
  <si>
    <t>https://www.turkishimmunology.org/</t>
  </si>
  <si>
    <t>https://onlinelibrary.wiley.com/journal/14401711</t>
  </si>
  <si>
    <t>https://academic.oup.com/cei</t>
  </si>
  <si>
    <t>https://www.aimspress.com/journal/allergy</t>
  </si>
  <si>
    <t>https://onlinelibrary.wiley.com/journal/1615</t>
  </si>
  <si>
    <t>https://onlinelibrary.wiley.com/journal/13993038</t>
  </si>
  <si>
    <t>https://journals.aai.org/jimmunol</t>
  </si>
  <si>
    <t>https://www.sciencedirect.com/journal/journal-of-allergy-and-clinical-immunology</t>
  </si>
  <si>
    <t>https://www.tandfonline.com/journals/ierm20</t>
  </si>
  <si>
    <t>https://e-aair.org/index.php?body=board</t>
  </si>
  <si>
    <t>https://www.tandfonline.com/journals/iiri20</t>
  </si>
  <si>
    <t>https://academic.oup.com/intimm</t>
  </si>
  <si>
    <t>https://onlinelibrary.wiley.com/journal/1607</t>
  </si>
  <si>
    <t>https://www.sciencedirect.com/journal/immunology-letters</t>
  </si>
  <si>
    <t>https://www.sciencedirect.com/journal/cellular-immunology</t>
  </si>
  <si>
    <t>https://www.sciencedirect.com/journal/molecular-immunology</t>
  </si>
  <si>
    <t>https://link.springer.com/journal/430</t>
  </si>
  <si>
    <t>https://karger.com/IAA/pages/editorial-board</t>
  </si>
  <si>
    <t>https://www.sciencedirect.com/journal/the-journal-of-allergy-and-clinical-immunology-in-practice</t>
  </si>
  <si>
    <t>https://link.springer.com/journal/12016</t>
  </si>
  <si>
    <t>https://www.sciencedirect.com/journal/seminars-in-immunology</t>
  </si>
  <si>
    <t>https://www.sciencedirect.com/journal/developmental-and-comparative-immunology</t>
  </si>
  <si>
    <t>https://bmcimmunol.biomedcentral.com/</t>
  </si>
  <si>
    <t>https://aacijournal.biomedcentral.com/</t>
  </si>
  <si>
    <t>https://journals.lww.com/co-allergy/pages/default.aspx</t>
  </si>
  <si>
    <t>https://www.sciencedirect.com/journal/immunology-and-allergy-clinics-of-north-america</t>
  </si>
  <si>
    <t>https://onlinelibrary.wiley.com/journal/13480421</t>
  </si>
  <si>
    <t>https://sciencedirect.com/journal/comparative-immunology-microbiology-and-infectious-diseases</t>
  </si>
  <si>
    <t>https://www.sciencedirect.com/journal/journal-of-microbiology-immunology-and-infection</t>
  </si>
  <si>
    <t>https://www.sciencedirect.com/journal/clinical-immunology</t>
  </si>
  <si>
    <t>https://www.sciencedirect.com/journal/human-immunology</t>
  </si>
  <si>
    <t>https://www.sciencedirect.com/journal/transplant-immunology</t>
  </si>
  <si>
    <t>https://www.frontiersin.org/journals/immunology</t>
  </si>
  <si>
    <t>https://www.sciencedirect.com/journal/mucosal-immunology</t>
  </si>
  <si>
    <t>https://link.springer.com/journal/10875</t>
  </si>
  <si>
    <t>https://www.jiaci.org/</t>
  </si>
  <si>
    <t>https://www.begellhouse.com/journals/critical-reviews-in-immunology.html</t>
  </si>
  <si>
    <t>https://www.termedia.pl/Journal/Central_European_Journal_of_nbsp_Immunology-10</t>
  </si>
  <si>
    <t>https://www.irdrjournal.com/</t>
  </si>
  <si>
    <t>https://ojrd.biomedcentral.com/</t>
  </si>
  <si>
    <t>https://www.tandfonline.com/journals/ditt20</t>
  </si>
  <si>
    <t>https://www.aai.org.tr/</t>
  </si>
  <si>
    <t>https://www.tandfonline.com/journals/timm20</t>
  </si>
  <si>
    <t>https://immunopathol.com/</t>
  </si>
  <si>
    <t>https://journals.lww.com/immunotherapy-journal/pages/default.aspx</t>
  </si>
  <si>
    <t>https://link.springer.com/journal/12026</t>
  </si>
  <si>
    <t>https://www.tandfonline.com/journals/iimy20</t>
  </si>
  <si>
    <t>https://link.springer.com/journal/5</t>
  </si>
  <si>
    <t>https://www.tandfonline.com/journals/iipi20</t>
  </si>
  <si>
    <t>https://link.springer.com/journal/281</t>
  </si>
  <si>
    <t>https://onlinelibrary.wiley.com/journal/1600065X</t>
  </si>
  <si>
    <t>https://link.springer.com/journal/251</t>
  </si>
  <si>
    <t>https://journals.sagepub.com/editorial-board/IJI</t>
  </si>
  <si>
    <t>https://www.sciencedirect.com/journal/immunobiology</t>
  </si>
  <si>
    <t>https://tandfonline.com/journals/iimm20</t>
  </si>
  <si>
    <t>https://onlinelibrary.wiley.com/journal/1744313X</t>
  </si>
  <si>
    <t>https://www.sciencedirect.com/journal/journal-of-immunological-methods</t>
  </si>
  <si>
    <t>https://lymphosign.com/about</t>
  </si>
  <si>
    <t>https://immunenetwork.org/index.php?body=about</t>
  </si>
  <si>
    <t>https://www.sciencedirect.com/journal/clinical-immunology-communications</t>
  </si>
  <si>
    <t>https://www.sciencedirect.com/journal/comparative-immunology-reports</t>
  </si>
  <si>
    <t>https://www.sciencedirect.com/journal/current-research-in-immunology</t>
  </si>
  <si>
    <t>https://www.sciencedirect.com/journal/journal-of-allergy-and-clinical-immunology-global/about/editorial-board</t>
  </si>
  <si>
    <t>https://www.sciencedirect.com/journal/journal-of-immunology-and-regenerative-medicine</t>
  </si>
  <si>
    <t>https://onlinelibrary.wiley.com/journal/13989995</t>
  </si>
  <si>
    <t>https://journals.lww.com/apallergy/pages/default.aspx</t>
  </si>
  <si>
    <t>https://asthma-and-bronchitis.imedpub.com/</t>
  </si>
  <si>
    <t>https://www.omicsonline.org/molecular-immunology.php</t>
  </si>
  <si>
    <t>https://www.longdom.org/clinical-cellular-immunology.html</t>
  </si>
  <si>
    <t>https://www.omicsonline.org/journal-cell-biology-immunology.php</t>
  </si>
  <si>
    <t>https://raredisorders.imedpub.com/</t>
  </si>
  <si>
    <t>https://academic.oup.com/ooim</t>
  </si>
  <si>
    <t>https://academic.oup.com/discovimmunology</t>
  </si>
  <si>
    <t>https://link.springer.com/journal/44162</t>
  </si>
  <si>
    <t>https://academic.oup.com/immunotherapyadv</t>
  </si>
  <si>
    <t>https://www.jscholaronline.org/journals/annals-of-immunology-and-cell-biology/</t>
  </si>
  <si>
    <t>https://canadianallergyandimmunologytoday.com/</t>
  </si>
  <si>
    <t>https://www.scidangelsforlife.com/</t>
  </si>
  <si>
    <t>International Patient Organization for Primary Immunodeficiencies (IPOPI)</t>
  </si>
  <si>
    <t>https://ipopi.org/</t>
  </si>
  <si>
    <t>https://www.auspips.org.au/</t>
  </si>
  <si>
    <t>Argentine Association for the Aid of the Patient with Primary Immunodeficiency (AAPIDP)</t>
  </si>
  <si>
    <t>https://aapidp.com.ar/</t>
  </si>
  <si>
    <t>Brazil</t>
  </si>
  <si>
    <t>https://anpic.org.br/</t>
  </si>
  <si>
    <t>https://immunodeficiency.ca/</t>
  </si>
  <si>
    <t>https://immunitycanada.org/</t>
  </si>
  <si>
    <t>Colombia</t>
  </si>
  <si>
    <t>http://www.fundacionfip.org.co/</t>
  </si>
  <si>
    <t>https://associationiris.org/</t>
  </si>
  <si>
    <t>https://www.dsai.de/</t>
  </si>
  <si>
    <t>https://www.aip-it.org/</t>
  </si>
  <si>
    <t>https://npo-pidtsubasa.org/</t>
  </si>
  <si>
    <t>https://aedip.com/</t>
  </si>
  <si>
    <t>https://candanbiseyler.org/</t>
  </si>
  <si>
    <t>https://www.immunodeficiencyuk.org/</t>
  </si>
  <si>
    <t>https://www.pia.org.uk/</t>
  </si>
  <si>
    <t>https://ukpips.org.uk/</t>
  </si>
  <si>
    <t>Foundation for Primary Immunodeficiency Diseases</t>
  </si>
  <si>
    <t>https://fpid.org/wp/</t>
  </si>
  <si>
    <t>https://info4pi.org/</t>
  </si>
  <si>
    <t>https://thinkofmeplease.org/</t>
  </si>
  <si>
    <t>Latin America</t>
  </si>
  <si>
    <t>https://iniciativaalas.org/</t>
  </si>
  <si>
    <t>Immune Deficiencies Foundation Australia</t>
  </si>
  <si>
    <t>https://www.idfa.org.au/</t>
  </si>
  <si>
    <t>Saudi Arabia</t>
  </si>
  <si>
    <t>https://manaa.org.sa/</t>
  </si>
  <si>
    <t>http://imyed.org/</t>
  </si>
  <si>
    <t>https://www.bubblefoundation.org.uk/</t>
  </si>
  <si>
    <t>Immune Deficiency Foundation</t>
  </si>
  <si>
    <t>https://primaryimmune.org/</t>
  </si>
  <si>
    <t>https://ern-rita.org/</t>
  </si>
  <si>
    <t>https://eulutopelaimunobrasil.org.br/</t>
  </si>
  <si>
    <t>Asia Pacific Alliance for Rare Disease Organisations</t>
  </si>
  <si>
    <t>Singapore</t>
  </si>
  <si>
    <t>https://www.apardo.org/</t>
  </si>
  <si>
    <t>https://www.globalrarediseasecommission.com/</t>
  </si>
  <si>
    <t>https://globalgenes.org/</t>
  </si>
  <si>
    <t>Ibero-American Alliance for Rare Diseases</t>
  </si>
  <si>
    <t>https://aliber.org/web/</t>
  </si>
  <si>
    <t>https://www.ngocommitteerarediseases.org/</t>
  </si>
  <si>
    <t>Rare Diseases International</t>
  </si>
  <si>
    <t>https://www.rarediseasesinternational.org/</t>
  </si>
  <si>
    <t>Argentine Federation of Rare Diseases</t>
  </si>
  <si>
    <t>https://fadepof.org.ar/</t>
  </si>
  <si>
    <t>https://www.fundacionenhue.org/</t>
  </si>
  <si>
    <t>Genetic Alliance Australia</t>
  </si>
  <si>
    <t>https://www.geneticalliance.org.au/</t>
  </si>
  <si>
    <t>https://rarevoices.org.au/</t>
  </si>
  <si>
    <t>https://www.stevewaughfoundation.com.au/</t>
  </si>
  <si>
    <t>https://feberraras.wixsite.com/feber-raras</t>
  </si>
  <si>
    <t>https://casahunter.org.br/</t>
  </si>
  <si>
    <t>https://vidasraras.org.br/sitewp/</t>
  </si>
  <si>
    <t>Canadian Organization for Rare Disorders</t>
  </si>
  <si>
    <t>https://rarediseasefoundation.org/</t>
  </si>
  <si>
    <t>https://www.fecoer.org/</t>
  </si>
  <si>
    <t>https://enfermedadeshuerfanas.org.co/</t>
  </si>
  <si>
    <t>https://www.cronicare.org/</t>
  </si>
  <si>
    <t>http://www.fundaper.org/</t>
  </si>
  <si>
    <t>https://enhu.org.co/index.php/</t>
  </si>
  <si>
    <t>https://www.enhu.org.co/</t>
  </si>
  <si>
    <t>Rare Diseases Alliance</t>
  </si>
  <si>
    <t>https://alliance-maladies-rares.org/</t>
  </si>
  <si>
    <t>Alliance of Chronic Rare Diseases (ACHSE)</t>
  </si>
  <si>
    <t>https://www.achse-online.de/de/</t>
  </si>
  <si>
    <t>https://www.namse.de/</t>
  </si>
  <si>
    <t>https://www.osservatoriomalattierare.it/</t>
  </si>
  <si>
    <t>https://retemalattierare.it/</t>
  </si>
  <si>
    <t>https://www.uniamo.org/</t>
  </si>
  <si>
    <t>https://www.ncnp.go.jp/nin/guide/r_dna2/rdcj.html</t>
  </si>
  <si>
    <t>South Korea</t>
  </si>
  <si>
    <t>https://www.kord.or.kr/index.php</t>
  </si>
  <si>
    <t>D´Genes Rare Diseases Association</t>
  </si>
  <si>
    <t>https://www.dgenes.es/</t>
  </si>
  <si>
    <t>https://enfermedades-raras.org/</t>
  </si>
  <si>
    <t>https://www.nadirhastaliklaragi.org.tr/en/</t>
  </si>
  <si>
    <t>https://www.rarebeacon.org/</t>
  </si>
  <si>
    <t>https://geneticalliance.org.uk/</t>
  </si>
  <si>
    <t>https://www.raredisease.org.uk/</t>
  </si>
  <si>
    <t>https://everylifefoundation.org/</t>
  </si>
  <si>
    <t>https://littlemisshannah.org/</t>
  </si>
  <si>
    <t>National Organisation for Rare Disorders (NORD)</t>
  </si>
  <si>
    <t>https://rarediseases.org/</t>
  </si>
  <si>
    <t>https://www.rarediseasediversity.org/</t>
  </si>
  <si>
    <t>http://www.rarekidsnetwork.org/</t>
  </si>
  <si>
    <t>European Organization for Rare Diseases (EURORDIS)</t>
  </si>
  <si>
    <t>https://www.eurordis.org/</t>
  </si>
  <si>
    <t>https://fundaciongeiser.org/</t>
  </si>
  <si>
    <t>Rare Diseases in the Caribbean and Latin America (ERCAL)</t>
  </si>
  <si>
    <t>Latin America and Caribbean</t>
  </si>
  <si>
    <t>https://ercalgroup.org/</t>
  </si>
  <si>
    <t>https://www.theiapids.org/</t>
  </si>
  <si>
    <t>https://www.ceredih.fr/home</t>
  </si>
  <si>
    <t>https://pidtc.rarediseasesnetwork.org/</t>
  </si>
  <si>
    <t>https://usidnet.org/</t>
  </si>
  <si>
    <t>https://ingid.org/</t>
  </si>
  <si>
    <t>World Association for Infectious Diseases and Immunological Disorders (WAidid)</t>
  </si>
  <si>
    <t>http://www.waidid.org/site/index</t>
  </si>
  <si>
    <t>Brazilian Group of Immunodeficiencies (BRAGID)</t>
  </si>
  <si>
    <t>https://www.bragid.org.br/novo/</t>
  </si>
  <si>
    <t>https://www.udea.edu.co/wps/portal/udea/web/inicio/investigacion/grupos-investigacion/ciencias-medicas-salud/inmunodeficiencias-primarias</t>
  </si>
  <si>
    <t>https://www.cipo.ca/</t>
  </si>
  <si>
    <t>https://www.aieop.org/web/operatori-sanitari/gruppi-di-lavoro/immunodeficienze/</t>
  </si>
  <si>
    <t>Japanese Society for Immunodeficiency and Autoinflammatory Diseases (JSIAD)</t>
  </si>
  <si>
    <t>https://jsiad.org/</t>
  </si>
  <si>
    <t>Asia Pacific Society for Immunodeficiencies (APSID)</t>
  </si>
  <si>
    <t>Asia-Pacific</t>
  </si>
  <si>
    <t>https://www.esid.org/</t>
  </si>
  <si>
    <t>Latin American Society for Immunodeficiencies (LASID)</t>
  </si>
  <si>
    <t>https://lasid.org/</t>
  </si>
  <si>
    <t>Federation of Clinical Immunology Societies</t>
  </si>
  <si>
    <t>https://www.focisnet.org/</t>
  </si>
  <si>
    <t>International Union of Immunological Societies</t>
  </si>
  <si>
    <t>https://iuis.org/</t>
  </si>
  <si>
    <t>Argentine Society of Immunology (SAI)</t>
  </si>
  <si>
    <t>https://inmunologia.org.ar/</t>
  </si>
  <si>
    <t>Australian and New Zealand Society for Immunology Inc.</t>
  </si>
  <si>
    <t>https://www.immunology.org.au/</t>
  </si>
  <si>
    <t>Brazilian Society of Immunology (SBI)</t>
  </si>
  <si>
    <t>https://sbi.org.br/</t>
  </si>
  <si>
    <t>https://www.allergyfoundation.ca/</t>
  </si>
  <si>
    <t>Canadian Society for Immunology</t>
  </si>
  <si>
    <t>https://www.csi-sci.ca/</t>
  </si>
  <si>
    <t>Colombian Association of Immunology (ACI)</t>
  </si>
  <si>
    <t>https://www.inmunoacoi.com/</t>
  </si>
  <si>
    <t>https://immunology.fr/fr/</t>
  </si>
  <si>
    <t>German Society for Immunology (DGfI)</t>
  </si>
  <si>
    <t>https://dgfi.org/</t>
  </si>
  <si>
    <t>Japanese Society for Immunology</t>
  </si>
  <si>
    <t>https://www.jsi-men-eki.org/</t>
  </si>
  <si>
    <t>Japanese Society of Clinical Immunology</t>
  </si>
  <si>
    <t>https://www.jsci73.net/</t>
  </si>
  <si>
    <t>Korean Association of Immunologists</t>
  </si>
  <si>
    <t>https://www.ksimm.or.kr/html/?pmode=intro2</t>
  </si>
  <si>
    <t>Spanish Society of Immunology (SEI)</t>
  </si>
  <si>
    <t>https://www.inmunologia.org/</t>
  </si>
  <si>
    <t>The Turkish Immunology Association</t>
  </si>
  <si>
    <t>https://www.turkimmunoloji.org/</t>
  </si>
  <si>
    <t>Turkish Clinical Immunology Society</t>
  </si>
  <si>
    <t>https://klinikimmunolojidernegi.org.tr/</t>
  </si>
  <si>
    <t>British Society for Histocompatibility &amp; Immunogenetics</t>
  </si>
  <si>
    <t>https://bshi.org.uk/</t>
  </si>
  <si>
    <t>British Society for Immunology</t>
  </si>
  <si>
    <t>https://www.immunology.org</t>
  </si>
  <si>
    <t>American Association of Immunologists</t>
  </si>
  <si>
    <t>https://www.aai.org/</t>
  </si>
  <si>
    <t>American Society for Histocompatibility and Immunogenetics</t>
  </si>
  <si>
    <t>https://www.ashi-hla.org/</t>
  </si>
  <si>
    <t>Clinical Immunology Society</t>
  </si>
  <si>
    <t>https://clinimmsoc.org/</t>
  </si>
  <si>
    <t>Asia-Pacific Histocompatibility and Immunogenetics Association</t>
  </si>
  <si>
    <t>https://www.aphia.org.au/</t>
  </si>
  <si>
    <t>European Federation for Immunogenetics</t>
  </si>
  <si>
    <t>https://efi-web.org/</t>
  </si>
  <si>
    <t>European Federation of Immunological Societies</t>
  </si>
  <si>
    <t>https://www.efis.org/</t>
  </si>
  <si>
    <t>Latin American and Caribbean Association of Immunology (ALACI)</t>
  </si>
  <si>
    <t>https://www.alaci.org/</t>
  </si>
  <si>
    <t>Argentine Association of Allergy and Clinical Immunology (AAAeIC)</t>
  </si>
  <si>
    <t>https://www.alergia.org.ar/</t>
  </si>
  <si>
    <t>Australasian Society of Clinical Immunology and Allergy</t>
  </si>
  <si>
    <t>https://www.allergy.org.au/</t>
  </si>
  <si>
    <t>Brazilian Association of Allergy and Immunology (ASBAI)</t>
  </si>
  <si>
    <t>https://asbai.org.br/</t>
  </si>
  <si>
    <t>Canadian Society of Allergy and Clinical Immunology</t>
  </si>
  <si>
    <t>https://www.csaci.ca/</t>
  </si>
  <si>
    <t>Colombian Association of Allergy, Asthma and Immunology</t>
  </si>
  <si>
    <t>https://home.acaai.co/</t>
  </si>
  <si>
    <t>German Society for Allergology and Clinical Immunology (DGAKI)</t>
  </si>
  <si>
    <t>https://www.dgaki.de/</t>
  </si>
  <si>
    <t>Italian Society of Allergology, Asthma and Clinical Immunology (SIAAIC)</t>
  </si>
  <si>
    <t>https://siaaic.org/</t>
  </si>
  <si>
    <t>Italian Society of Immunology, Clinical Immunology and Allergology (SIICA)</t>
  </si>
  <si>
    <t>https://siica.it/</t>
  </si>
  <si>
    <t>Japanese Society of Allergy, Immunology and Cutaneous Medicine (JSCIA)</t>
  </si>
  <si>
    <t>https://www.jscia.org/</t>
  </si>
  <si>
    <t>Japanese Society of Pediatric Allergy and Clinical Immunology</t>
  </si>
  <si>
    <t>https://www.jspaci.jp/</t>
  </si>
  <si>
    <t>Saudi Allergy, Asthma and Immunology Society</t>
  </si>
  <si>
    <t>https://saais.org.sa/</t>
  </si>
  <si>
    <t>Korean Academy of Asthma, Allergy and Clinical Immunology</t>
  </si>
  <si>
    <t>https://www.allergy.or.kr/</t>
  </si>
  <si>
    <t>Spanish Society of Allergology and Clinical Immunology (SEAIC)</t>
  </si>
  <si>
    <t>https://www.seaic.org/</t>
  </si>
  <si>
    <t>Spanish Society of Clinical Immunology, Allergology and Pediatric Asthma (SEICAP)</t>
  </si>
  <si>
    <t>https://seicap.es/</t>
  </si>
  <si>
    <t>Turkish National Society of Allergy and Clinical Immunology</t>
  </si>
  <si>
    <t>https://www.aid.org.tr/</t>
  </si>
  <si>
    <t>British Society for Allergy &amp; Clinical Immunology</t>
  </si>
  <si>
    <t>https://www.bsaci.org/</t>
  </si>
  <si>
    <t>American Academy of Allergy, Asthma, and Immunology</t>
  </si>
  <si>
    <t>https://www.aaaai.org/</t>
  </si>
  <si>
    <t>https://acaai.org/</t>
  </si>
  <si>
    <t>https://www.abai.org/</t>
  </si>
  <si>
    <t>Western Society of Allergy, Asthma and Immunology</t>
  </si>
  <si>
    <t>https://wsaai.org/</t>
  </si>
  <si>
    <t>Asia Pacific Association of Allergy, Asthma and Clinical Immunology</t>
  </si>
  <si>
    <t>United Arab Emirates</t>
  </si>
  <si>
    <t>https://www.apaaaci.org/</t>
  </si>
  <si>
    <t>European Academy of Allergy and Clinical Immunology</t>
  </si>
  <si>
    <t>https://eaaci.org/</t>
  </si>
  <si>
    <t>Latin American Society of Allergy and Immunology (SLaai)</t>
  </si>
  <si>
    <t>https://slaai.org/</t>
  </si>
  <si>
    <t>World Allergy Organization</t>
  </si>
  <si>
    <t>https://www.worldallergy.org/</t>
  </si>
  <si>
    <t>https://ihf-fih.org/what-we-do/global-rare-paediatric-disease-network/</t>
  </si>
  <si>
    <t>International Collaboration on Rare Diseases and Orphan Drugs</t>
  </si>
  <si>
    <t>http://www.icord.es/</t>
  </si>
  <si>
    <t>https://irdirc.org/</t>
  </si>
  <si>
    <t>https://raras.org.br/</t>
  </si>
  <si>
    <t>https://www.rarekidscan.com/</t>
  </si>
  <si>
    <t>https://www.fimatho.fr/en/research-and-financing/bndmr</t>
  </si>
  <si>
    <t>Foundation for Rare Diseases</t>
  </si>
  <si>
    <t>https://fondation-maladiesrares.org/en/</t>
  </si>
  <si>
    <t>https://www.care-for-rare.org/en/home/</t>
  </si>
  <si>
    <t>https://www.kfrd.org/</t>
  </si>
  <si>
    <t>https://ksrid.com/</t>
  </si>
  <si>
    <t>Rare Disease Research UK</t>
  </si>
  <si>
    <t>https://rd-research.org.uk/</t>
  </si>
  <si>
    <t>https://www.childrenraredisease.org/</t>
  </si>
  <si>
    <t>https://www.rarediseasesnetwork.org/</t>
  </si>
  <si>
    <t>https://www.thecrdfund.org/</t>
  </si>
  <si>
    <t>https://www.ejprarediseases.org/</t>
  </si>
  <si>
    <t>European Rare Disease Research Coordination and Support Action Consortium (ERICA)</t>
  </si>
  <si>
    <t>https://erica-rd.eu/</t>
  </si>
  <si>
    <t>Primary Immune Dysregulations | Chronic Granulomatous Disease | Inflammatory Bowel Disease</t>
  </si>
  <si>
    <t>NCT03278912</t>
  </si>
  <si>
    <t>https://clinicaltrials.gov/study/NCT03278912</t>
  </si>
  <si>
    <t>Severe Infection | Severe Immune Deficiency</t>
  </si>
  <si>
    <t>NCT04990908</t>
  </si>
  <si>
    <t>https://clinicaltrials.gov/study/NCT04990908</t>
  </si>
  <si>
    <t>Common Variable Immunodeficiency | Granulomatous Disease | Bronchiectasis | Immunoglobulin Treatment</t>
  </si>
  <si>
    <t>NCT01196702</t>
  </si>
  <si>
    <t>https://clinicaltrials.gov/study/NCT01196702</t>
  </si>
  <si>
    <t>Epstein-Barr Virus Infections | Primary Immune Deficiency Disorder</t>
  </si>
  <si>
    <t>NCT03266653</t>
  </si>
  <si>
    <t>https://clinicaltrials.gov/study/NCT03266653</t>
  </si>
  <si>
    <t>Severe Combined Immune Deficiency (SCID)</t>
  </si>
  <si>
    <t>NCT03597594</t>
  </si>
  <si>
    <t>https://clinicaltrials.gov/study/NCT03597594</t>
  </si>
  <si>
    <t>CTLA4 Haploinsufficency | Chronic Cytopenia</t>
  </si>
  <si>
    <t>NCT03733067</t>
  </si>
  <si>
    <t>https://clinicaltrials.gov/study/NCT03733067</t>
  </si>
  <si>
    <t>Primary Immunodeficiency Diseases (PID)</t>
  </si>
  <si>
    <t>NCT03814798</t>
  </si>
  <si>
    <t>https://clinicaltrials.gov/study/NCT03814798</t>
  </si>
  <si>
    <t>Lymphoma | Leukemia | Myeloma | Myelodysplastic Syndromes | Severe Aplastic Anemia | Primary Immune Deficiency | Graft Vs Host Disease</t>
  </si>
  <si>
    <t>NCT03836690</t>
  </si>
  <si>
    <t>https://clinicaltrials.gov/study/NCT03836690</t>
  </si>
  <si>
    <t>Enteropathy | Celiac Disease | CVID Enteropathy | Collagenous Sprue | Autoimmune Enteropathy</t>
  </si>
  <si>
    <t>NCT03866538</t>
  </si>
  <si>
    <t>https://clinicaltrials.gov/study/NCT03866538</t>
  </si>
  <si>
    <t>Pediatric Patients | Any Type of Severe Combined Immunodeficiency (SCID) | Partial HLA Incompatible Allogeneic Hematopoietic Stem Cell Transplantation (HSCT)</t>
  </si>
  <si>
    <t>NCT03879876</t>
  </si>
  <si>
    <t>https://clinicaltrials.gov/study/NCT03879876</t>
  </si>
  <si>
    <t>Primary Immune Deficiency</t>
  </si>
  <si>
    <t>NCT03939533</t>
  </si>
  <si>
    <t>https://clinicaltrials.gov/study/NCT03939533</t>
  </si>
  <si>
    <t>Adenosine Deaminase Deficiency | Severe Combined Immunodeficiency (SCID)</t>
  </si>
  <si>
    <t>NCT04049084</t>
  </si>
  <si>
    <t>https://clinicaltrials.gov/study/NCT04049084</t>
  </si>
  <si>
    <t>Severe Combined Immunodeficiency Due to ADA Deficiency</t>
  </si>
  <si>
    <t>NCT04140539</t>
  </si>
  <si>
    <t>https://clinicaltrials.gov/study/NCT04140539</t>
  </si>
  <si>
    <t>Viral Infection | Primary Immune Deficiency Disorder</t>
  </si>
  <si>
    <t>NCT04197596</t>
  </si>
  <si>
    <t>https://clinicaltrials.gov/study/NCT04197596</t>
  </si>
  <si>
    <t>Primary Immune Deficiency Disorder | Immune Deficiency Disease | Bone Marrow Failure</t>
  </si>
  <si>
    <t>NCT04232085</t>
  </si>
  <si>
    <t>https://clinicaltrials.gov/study/NCT04232085</t>
  </si>
  <si>
    <t>NCT04246840</t>
  </si>
  <si>
    <t>https://clinicaltrials.gov/study/NCT04246840</t>
  </si>
  <si>
    <t>Lymphoproliferative Disorders | Autoimmune Lymphoproliferative | Immune System Diseases | Common Variable Immunodeficiency | Primary T-cell Immunodeficiency Disorders</t>
  </si>
  <si>
    <t>NCT04339777</t>
  </si>
  <si>
    <t>https://clinicaltrials.gov/study/NCT04339777</t>
  </si>
  <si>
    <t>NCT04346108</t>
  </si>
  <si>
    <t>https://clinicaltrials.gov/study/NCT04346108</t>
  </si>
  <si>
    <t>Primary Immune Deficiency Disorder | Secondary Immune Deficiency</t>
  </si>
  <si>
    <t>NCT04354129</t>
  </si>
  <si>
    <t>https://clinicaltrials.gov/study/NCT04354129</t>
  </si>
  <si>
    <t>NCT04356053</t>
  </si>
  <si>
    <t>https://clinicaltrials.gov/study/NCT04356053</t>
  </si>
  <si>
    <t>NCT04370795</t>
  </si>
  <si>
    <t>https://clinicaltrials.gov/study/NCT04370795</t>
  </si>
  <si>
    <t>Primary Immune Deficiency Disorders | Metabolic Disease</t>
  </si>
  <si>
    <t>NCT04414046</t>
  </si>
  <si>
    <t>https://clinicaltrials.gov/study/NCT04414046</t>
  </si>
  <si>
    <t>Primary Immunodeficiency (PID) | Congenital Bone Marrow Failure Syndromes | Inherited Metabolic Disorders (IMD) | Hereditary Anemias | Inflammatory Conditions</t>
  </si>
  <si>
    <t>NCT04528355</t>
  </si>
  <si>
    <t>https://clinicaltrials.gov/study/NCT04528355</t>
  </si>
  <si>
    <t>Epstein-Barr Virus (EBV)-Associated Diseases | EBV+ Lymphoproliferative Disease With Primary Immunodeficiency (EBV+ PID LPD) | EBV+ Lymphoproliferative Disease With Acquired (Non-congenital) Immunodeficiency (EBV+ AID LPD) | EBV+ Posttransplant Lymphoproliferative Disease in Central Nervous System (EBV+ CNS PTLD) | EBV+ Post-transplant Lymphoproliferative Disease (EBV+ PTLD) | Solid Organ Transplant Complications | Lymphoproliferative Disorders | Allogeneic Hematopoietic Cell Transplant | Stem Cell Transplant Complications | EBV+ Sarcomas | Leiomyosarcoma</t>
  </si>
  <si>
    <t>NCT04554914</t>
  </si>
  <si>
    <t>https://clinicaltrials.gov/study/NCT04554914</t>
  </si>
  <si>
    <t>NCT04561115</t>
  </si>
  <si>
    <t>https://clinicaltrials.gov/study/NCT04561115</t>
  </si>
  <si>
    <t>NCT04565015</t>
  </si>
  <si>
    <t>https://clinicaltrials.gov/study/NCT04565015</t>
  </si>
  <si>
    <t>NCT04566692</t>
  </si>
  <si>
    <t>https://clinicaltrials.gov/study/NCT04566692</t>
  </si>
  <si>
    <t>NCT04581460</t>
  </si>
  <si>
    <t>https://clinicaltrials.gov/study/NCT04581460</t>
  </si>
  <si>
    <t>NCT04640142</t>
  </si>
  <si>
    <t>https://clinicaltrials.gov/study/NCT04640142</t>
  </si>
  <si>
    <t>Viral Infection | Hematopoietic Stem Cell Transplantation (HSCT) | Primary Immunodeficiency Disorders (PID)</t>
  </si>
  <si>
    <t>NCT04691622</t>
  </si>
  <si>
    <t>https://clinicaltrials.gov/study/NCT04691622</t>
  </si>
  <si>
    <t>Primary Ciliary Dyskinesia | Primary Immune Deficiency | Kartagener Syndrome</t>
  </si>
  <si>
    <t>NCT04702243</t>
  </si>
  <si>
    <t>https://clinicaltrials.gov/study/NCT04702243</t>
  </si>
  <si>
    <t>Immunological Disease | Autoimmune Diseases | Primary Immune Deficiency</t>
  </si>
  <si>
    <t>NCT04784364</t>
  </si>
  <si>
    <t>https://clinicaltrials.gov/study/NCT04784364</t>
  </si>
  <si>
    <t>Severe Combined Immunodeficiency Due to RAG1 Deficiency</t>
  </si>
  <si>
    <t>NCT04797260</t>
  </si>
  <si>
    <t>https://clinicaltrials.gov/study/NCT04797260</t>
  </si>
  <si>
    <t>NCT04842643</t>
  </si>
  <si>
    <t>https://clinicaltrials.gov/study/NCT04842643</t>
  </si>
  <si>
    <t>Primary Immunodeficiency | Psoriasis | Atopic Dermatitis | Immune-mediated Diseases</t>
  </si>
  <si>
    <t>NCT04864886</t>
  </si>
  <si>
    <t>https://clinicaltrials.gov/study/NCT04864886</t>
  </si>
  <si>
    <t>Autoimmune Lymphoproliferative Syndrome | Autoimmune Cytopenia | Autoimmune Diseases | Autoimmune Anemia | Autoimmune Thrombocytopenia | Autoimmune Hepatitis | Autoimmune Diabetes | Autoimmune Rheumatologic Disease | Systemic Lupus Erythematosus | Juvenile Idiopathic Arthritis | Hemophagocytic Lymphohistiocytoses | EBV Lymphoproliferation | RAS-Associated Autoimmune Leucoproliferative Disease | Primary Immunodeficiency | APECED | IPEX | BENTA | Enteropathy, Autoimmune | Combined Immunodeficiency | IBD</t>
  </si>
  <si>
    <t>NCT04902807</t>
  </si>
  <si>
    <t>https://clinicaltrials.gov/study/NCT04902807</t>
  </si>
  <si>
    <t>Primary Ciliary Dyskinesia | Kartagener Syndrome | Primary Immune Deficiency</t>
  </si>
  <si>
    <t>NCT04919018</t>
  </si>
  <si>
    <t>https://clinicaltrials.gov/study/NCT04919018</t>
  </si>
  <si>
    <t>Interstitial Lung Disease | Common Variable Immunodeficiency</t>
  </si>
  <si>
    <t>NCT04925375</t>
  </si>
  <si>
    <t>https://clinicaltrials.gov/study/NCT04925375</t>
  </si>
  <si>
    <t>NCT04944979</t>
  </si>
  <si>
    <t>https://clinicaltrials.gov/study/NCT04944979</t>
  </si>
  <si>
    <t>NCT04959890</t>
  </si>
  <si>
    <t>https://clinicaltrials.gov/study/NCT04959890</t>
  </si>
  <si>
    <t>CTLA4 Haploinsufficiency</t>
  </si>
  <si>
    <t>NCT05040256</t>
  </si>
  <si>
    <t>https://clinicaltrials.gov/study/NCT05040256</t>
  </si>
  <si>
    <t>NCT05070455</t>
  </si>
  <si>
    <t>https://clinicaltrials.gov/study/NCT05070455</t>
  </si>
  <si>
    <t>Artemis (DCLRE1C ) Deficient Severe Combined Immunodeficiency</t>
  </si>
  <si>
    <t>NCT05071222</t>
  </si>
  <si>
    <t>https://clinicaltrials.gov/study/NCT05071222</t>
  </si>
  <si>
    <t>NCT05150340</t>
  </si>
  <si>
    <t>https://clinicaltrials.gov/study/NCT05150340</t>
  </si>
  <si>
    <t>Common Variable Immunodeficiency (CVID)</t>
  </si>
  <si>
    <t>NCT05193552</t>
  </si>
  <si>
    <t>https://clinicaltrials.gov/study/NCT05193552</t>
  </si>
  <si>
    <t>Acute Lymphoblastic Leukemia in Remission | Acute Myeloid Leukemia in Remission | Myelodysplastic Syndromes | Chronic Myeloid Leukemia | Hemophagocytic Lymphohistiocytoses | Primary Immunodeficiency Diseases | Hemoglobinopathies | Severe Aplastic Anemia | Cytopenia | Bone Marrow Failure Syndrome | Severe Chronic Active Epstein-Barr Virus Infection</t>
  </si>
  <si>
    <t>NCT05236764</t>
  </si>
  <si>
    <t>https://clinicaltrials.gov/study/NCT05236764</t>
  </si>
  <si>
    <t>Haematological Malignancy | Acute Leukemia | Myelodysplastic Syndromes | Hemoglobinopathy in Children | Bone Marrow Aplasia | Severe Combined Immunodeficiency</t>
  </si>
  <si>
    <t>NCT05298930</t>
  </si>
  <si>
    <t>https://clinicaltrials.gov/study/NCT05298930</t>
  </si>
  <si>
    <t>Adenosine Deaminase Severe Combined Immune Deficiency</t>
  </si>
  <si>
    <t>NCT05432310</t>
  </si>
  <si>
    <t>https://clinicaltrials.gov/study/NCT05432310</t>
  </si>
  <si>
    <t>Activated Phosphoinositide 3-Kinase Delta Syndrome</t>
  </si>
  <si>
    <t>NCT05438407</t>
  </si>
  <si>
    <t>https://clinicaltrials.gov/study/NCT05438407</t>
  </si>
  <si>
    <t>NCT05476653</t>
  </si>
  <si>
    <t>https://clinicaltrials.gov/study/NCT05476653</t>
  </si>
  <si>
    <t>Common Variable Immunodeficiency | Vascular Diseases</t>
  </si>
  <si>
    <t>NCT05481554</t>
  </si>
  <si>
    <t>https://clinicaltrials.gov/study/NCT05481554</t>
  </si>
  <si>
    <t>NCT05513586</t>
  </si>
  <si>
    <t>https://clinicaltrials.gov/study/NCT05513586</t>
  </si>
  <si>
    <t>Common Variable Immunodeficiency | Interstitial Lung Disease Due to Systemic Disease</t>
  </si>
  <si>
    <t>NCT05593588</t>
  </si>
  <si>
    <t>https://clinicaltrials.gov/study/NCT05593588</t>
  </si>
  <si>
    <t>NCT05651113</t>
  </si>
  <si>
    <t>https://clinicaltrials.gov/study/NCT05651113</t>
  </si>
  <si>
    <t>NCT05693129</t>
  </si>
  <si>
    <t>https://clinicaltrials.gov/study/NCT05693129</t>
  </si>
  <si>
    <t>NCT05755035</t>
  </si>
  <si>
    <t>https://clinicaltrials.gov/study/NCT05755035</t>
  </si>
  <si>
    <t>NCT05999422</t>
  </si>
  <si>
    <t>https://clinicaltrials.gov/study/NCT05999422</t>
  </si>
  <si>
    <t>Primary Immune Deficiency | Exercise Capacity | Physical Activity | Quality of Life</t>
  </si>
  <si>
    <t>NCT06014463</t>
  </si>
  <si>
    <t>https://clinicaltrials.gov/study/NCT06014463</t>
  </si>
  <si>
    <t>NCT06076642</t>
  </si>
  <si>
    <t>https://clinicaltrials.gov/study/NCT06076642</t>
  </si>
  <si>
    <t>NCT06089122</t>
  </si>
  <si>
    <t>https://clinicaltrials.gov/study/NCT06089122</t>
  </si>
  <si>
    <t>NCT06092528</t>
  </si>
  <si>
    <t>https://clinicaltrials.gov/study/NCT06092528</t>
  </si>
  <si>
    <t>Non-Cirrhotic Portal Hypertension | Common Variable Immunodeficiency</t>
  </si>
  <si>
    <t>NCT06145100</t>
  </si>
  <si>
    <t>https://clinicaltrials.gov/study/NCT06145100</t>
  </si>
  <si>
    <t>NCT06150534</t>
  </si>
  <si>
    <t>https://clinicaltrials.gov/study/NCT06150534</t>
  </si>
  <si>
    <t>NCT06150833</t>
  </si>
  <si>
    <t>https://clinicaltrials.gov/study/NCT06150833</t>
  </si>
  <si>
    <t>Common Variable Immunodeficiency</t>
  </si>
  <si>
    <t>NCT06173128</t>
  </si>
  <si>
    <t>https://clinicaltrials.gov/study/NCT06173128</t>
  </si>
  <si>
    <t>Activated Phosphoinositide 3-Kinase Delta Syndrome Gene Mutation</t>
  </si>
  <si>
    <t>NCT06249997</t>
  </si>
  <si>
    <t>https://clinicaltrials.gov/study/NCT06249997</t>
  </si>
  <si>
    <t>Primary Immunodeficiency | Common Variable Immunodeficiency | Igg Subclass Deficiency | Selective IgM Deficiency</t>
  </si>
  <si>
    <t>NCT06355323</t>
  </si>
  <si>
    <t>https://clinicaltrials.gov/study/NCT06355323</t>
  </si>
  <si>
    <t>NCT06519734</t>
  </si>
  <si>
    <t>https://clinicaltrials.gov/study/NCT06519734</t>
  </si>
  <si>
    <t>NCT06549114</t>
  </si>
  <si>
    <t>https://clinicaltrials.gov/study/NCT06549114</t>
  </si>
  <si>
    <t>NCT06565078</t>
  </si>
  <si>
    <t>https://clinicaltrials.gov/study/NCT06565078</t>
  </si>
  <si>
    <t>Non-severe combined immunodeficiency inborn errors of immunity</t>
  </si>
  <si>
    <t>ISRCTN11859866</t>
  </si>
  <si>
    <t>https://www.isrctn.com/ISRCTN11859866</t>
  </si>
  <si>
    <t>EudraCT Number: 2022-001624-14</t>
  </si>
  <si>
    <t>https://www.clinicaltrialsregister.eu/ctr-search/trial/2022-001624-14/FR</t>
  </si>
  <si>
    <t>PMID: 38972509</t>
  </si>
  <si>
    <t>https://pubmed.ncbi.nlm.nih.gov/38972509</t>
  </si>
  <si>
    <t>PMID: 36818468</t>
  </si>
  <si>
    <t>https://pubmed.ncbi.nlm.nih.gov/36818468</t>
  </si>
  <si>
    <t>PMID: 36399712</t>
  </si>
  <si>
    <t>https://pubmed.ncbi.nlm.nih.gov/36399712</t>
  </si>
  <si>
    <t>PMID: 36546626</t>
  </si>
  <si>
    <t>https://pubmed.ncbi.nlm.nih.gov/36546626</t>
  </si>
  <si>
    <t>PMID: 36128795</t>
  </si>
  <si>
    <t>https://pubmed.ncbi.nlm.nih.gov/36128795</t>
  </si>
  <si>
    <t>PMID: 35944615</t>
  </si>
  <si>
    <t>https://pubmed.ncbi.nlm.nih.gov/35944615</t>
  </si>
  <si>
    <t>PMID: 35914227</t>
  </si>
  <si>
    <t>https://pubmed.ncbi.nlm.nih.gov/35914227</t>
  </si>
  <si>
    <t>X-linked severe combined immunodeficiency</t>
  </si>
  <si>
    <t>PMID: 35764638</t>
  </si>
  <si>
    <t>https://pubmed.ncbi.nlm.nih.gov/35764638</t>
  </si>
  <si>
    <t>ADA-deficient severe combined immunodeficiency</t>
  </si>
  <si>
    <t>PMID: 35671392</t>
  </si>
  <si>
    <t>https://pubmed.ncbi.nlm.nih.gov/35671392</t>
  </si>
  <si>
    <t>PMID: 35121105</t>
  </si>
  <si>
    <t>https://pubmed.ncbi.nlm.nih.gov/35121105</t>
  </si>
  <si>
    <t>Inborn errors of Immunity</t>
  </si>
  <si>
    <t>PMID: 35058929</t>
  </si>
  <si>
    <t>https://pubmed.ncbi.nlm.nih.gov/35058929</t>
  </si>
  <si>
    <t>PMID: 35008008</t>
  </si>
  <si>
    <t>https://pubmed.ncbi.nlm.nih.gov/35008008</t>
  </si>
  <si>
    <t>PMID: 34931880</t>
  </si>
  <si>
    <t>https://pubmed.ncbi.nlm.nih.gov/34931880</t>
  </si>
  <si>
    <t>PMID: 34587873</t>
  </si>
  <si>
    <t>https://pubmed.ncbi.nlm.nih.gov/34587873</t>
  </si>
  <si>
    <t>PMID: 34599947</t>
  </si>
  <si>
    <t>https://pubmed.ncbi.nlm.nih.gov/34599947</t>
  </si>
  <si>
    <t>PMID: 34305948</t>
  </si>
  <si>
    <t>https://pubmed.ncbi.nlm.nih.gov/34305948</t>
  </si>
  <si>
    <t>PMID: 34060650</t>
  </si>
  <si>
    <t>https://pubmed.ncbi.nlm.nih.gov/34060650</t>
  </si>
  <si>
    <t>PMID: 33974038</t>
  </si>
  <si>
    <t>https://pubmed.ncbi.nlm.nih.gov/33974038</t>
  </si>
  <si>
    <t>X-linked combined immunodeficiency</t>
  </si>
  <si>
    <t>PMID: 33876203</t>
  </si>
  <si>
    <t>https://pubmed.ncbi.nlm.nih.gov/33876203</t>
  </si>
  <si>
    <t>PMID: 33855675</t>
  </si>
  <si>
    <t>https://pubmed.ncbi.nlm.nih.gov/33855675</t>
  </si>
  <si>
    <t>PMID: 33737935</t>
  </si>
  <si>
    <t>https://pubmed.ncbi.nlm.nih.gov/33737935</t>
  </si>
  <si>
    <t>PMID: 33738703</t>
  </si>
  <si>
    <t>https://pubmed.ncbi.nlm.nih.gov/33738703</t>
  </si>
  <si>
    <t>Combined immunodeficiency (CID)</t>
  </si>
  <si>
    <t>PMID: 33662367</t>
  </si>
  <si>
    <t>https://pubmed.ncbi.nlm.nih.gov/33662367</t>
  </si>
  <si>
    <t>PMID: 33409867</t>
  </si>
  <si>
    <t>https://pubmed.ncbi.nlm.nih.gov/33409867</t>
  </si>
  <si>
    <t>PMID: 33223097</t>
  </si>
  <si>
    <t>https://pubmed.ncbi.nlm.nih.gov/33223097</t>
  </si>
  <si>
    <t>PMID: 33115853</t>
  </si>
  <si>
    <t>https://pubmed.ncbi.nlm.nih.gov/33115853</t>
  </si>
  <si>
    <t>Inborn errors of immunity | CD27 and CD70 deficiency</t>
  </si>
  <si>
    <t>PMID: 32603431</t>
  </si>
  <si>
    <t>https://pubmed.ncbi.nlm.nih.gov/32603431</t>
  </si>
  <si>
    <t>PMID: 31910997</t>
  </si>
  <si>
    <t>https://pubmed.ncbi.nlm.nih.gov/31910997</t>
  </si>
  <si>
    <t>PMID: 31814328</t>
  </si>
  <si>
    <t>https://pubmed.ncbi.nlm.nih.gov/31814328</t>
  </si>
  <si>
    <t>PMID: 31629014</t>
  </si>
  <si>
    <t>https://pubmed.ncbi.nlm.nih.gov/31629014</t>
  </si>
  <si>
    <t>PMID: 31921145</t>
  </si>
  <si>
    <t>https://pubmed.ncbi.nlm.nih.gov/31921145</t>
  </si>
  <si>
    <t>PMID: 31847720</t>
  </si>
  <si>
    <t>https://pubmed.ncbi.nlm.nih.gov/31847720</t>
  </si>
  <si>
    <t>Autoimmune Lymphoproliferative Syndrome</t>
  </si>
  <si>
    <t>PMID: 31689275</t>
  </si>
  <si>
    <t>https://pubmed.ncbi.nlm.nih.gov/31689275</t>
  </si>
  <si>
    <t>Primary humoral immunodeficiency</t>
  </si>
  <si>
    <t>PMID: 31621458</t>
  </si>
  <si>
    <t>https://pubmed.ncbi.nlm.nih.gov/31621458</t>
  </si>
  <si>
    <t>Genetic Immunodeficiency Disorders</t>
  </si>
  <si>
    <t>PMID: 31572362</t>
  </si>
  <si>
    <t>https://pubmed.ncbi.nlm.nih.gov/31572362</t>
  </si>
  <si>
    <t>PMID: 31445098</t>
  </si>
  <si>
    <t>https://pubmed.ncbi.nlm.nih.gov/31445098</t>
  </si>
  <si>
    <t>PMID: 31228628</t>
  </si>
  <si>
    <t>https://pubmed.ncbi.nlm.nih.gov/31228628</t>
  </si>
  <si>
    <t>PMID: 31493539</t>
  </si>
  <si>
    <t>https://pubmed.ncbi.nlm.nih.gov/31493539</t>
  </si>
  <si>
    <t>CTLA4 insufficiency or LRBA deficiency</t>
  </si>
  <si>
    <t>DRKS00017736</t>
  </si>
  <si>
    <t>https://drks.de/search/de/trial/DRKS00017736</t>
  </si>
  <si>
    <t>DRKS00027556</t>
  </si>
  <si>
    <t>https://drks.de/search/de/trial/DRKS00027556</t>
  </si>
  <si>
    <t>DRKS00034189</t>
  </si>
  <si>
    <t>https://drks.de/search/de/trial/DRKS00034189</t>
  </si>
  <si>
    <t>Congenital immunodeficiencies</t>
  </si>
  <si>
    <t>DRKS00032712</t>
  </si>
  <si>
    <t>https://drks.de/search/de/trial/DRKS00032712</t>
  </si>
  <si>
    <t>Immunodeficiency with predominant antibody deficiency</t>
  </si>
  <si>
    <t>DRKS00020522</t>
  </si>
  <si>
    <t>https://drks.de/search/de/trial/DRKS00020522</t>
  </si>
  <si>
    <t>jRCTs031230296</t>
  </si>
  <si>
    <t>https://jrct.niph.go.jp/en-latest-detail/jRCTs031230296</t>
  </si>
  <si>
    <t>jRCT2031210309</t>
  </si>
  <si>
    <t>https://jrct.niph.go.jp/en-latest-detail/jRCT2031210309</t>
  </si>
  <si>
    <t>UMIN000045622</t>
  </si>
  <si>
    <t>https://center6.umin.ac.jp/cgi-open-bin/ctr_e/ctr_view.cgi?recptno=R0000520866</t>
  </si>
  <si>
    <t>Specific antibody deficiency</t>
  </si>
  <si>
    <t>ACTRN12621001059853</t>
  </si>
  <si>
    <t>https://anzctr.org.au/Trial/Registration/TrialReview.aspx?ACTRN=12621001059853</t>
  </si>
  <si>
    <t>NCT03278912 - Natural History of Intestinal Inflammation in Patients With Primary Immune Dysregulations</t>
  </si>
  <si>
    <t>NCT04990908 - Systematic Screening for Primary Immunodeficiencies in Patients Admitted for Severe Infection in Pediatric Intensive Care Unit</t>
  </si>
  <si>
    <t>NCT01196702 - Investigation of the Lymphocyte Surface Expression of Patients With Primary Immunodeficiency (Common Variable Immunodeficiency (CVID)), Compared to Controls</t>
  </si>
  <si>
    <t>NCT03266653 - A Pilot Study in the Treatment of Refractory Epstein-Barr Virus (EBV) Infection With Related Donor EBV Cytotoxic T-Lymphocytes in Children, Adolescents and Young Adult Recipients</t>
  </si>
  <si>
    <t>NCT03597594 - Haplocompatible Transplant Using TCRα/β Depletion Followed by CD45RA-Depleted Donor Lymphocyte Infusions for Severe Combined Immunodeficiency (SCID)</t>
  </si>
  <si>
    <t>NCT03733067 - Phase 1/2 Randomized, Double-Blind, Placebo-Controlled Study of Safety and Efficacy of Abatacept for Treating Chronic Cytopenia in Cytotoxic T-lymphocyte Antigen 4 (CTLA4) Haploinsufficiency</t>
  </si>
  <si>
    <t>NCT03836690 - Phase I Study of Transfer of Effector Memory T Cells (Tem) Following Allogeneic Stem Cell Transplantation</t>
  </si>
  <si>
    <t>NCT03866538 - Open-label Withdrawal Trial of Budesonide in Patients With Immune Mediated Enteropathies</t>
  </si>
  <si>
    <t>NCT03879876 - A Phase I/II Study Evaluating the Safety and the Efficacy of Human T Lymphoid Progenitor (HTLP) Injection to Accelerate Immune Reconstitution After Partially HLA Compatible Allogeneic Hematopoietic Stem Cell Transplantation in SCID Patients</t>
  </si>
  <si>
    <t>NCT03939533 - Clinical Phase 3 Study to Monitor the Safety, Tolerability, and Efficacy of Subcutaneous Human Immunoglobulin (CUTAQUIG®) Administered at Modified Dosing Regimens in Patients With Primary Immunodeficiency Diseases</t>
  </si>
  <si>
    <t>NCT04049084 - An Observational Long-term Follow-up Study for Patients Previously Treated With Autologous ex Vivo Gene Therapy for Severe Combined Immunodeficiency Due to Adenosine Deaminase Deficiency (ADA-SCID)</t>
  </si>
  <si>
    <t>NCT04197596 - A Pilot Study in the Treatment of Refractory BK Infections With Related Donor BK Specific Cytotoxic T-cells (CTLs) in Children, Adolescents and Young Adult Recipients</t>
  </si>
  <si>
    <t>NCT04232085 - Phase II Trial of Reduced Intensity Conditioning Hematopoietic Stem Cell Transplantation for Primary Immune Deficiencies, Immune Dysregulatory Syndromes, and Inherited Bone Marrow Failure Syndromes Using Post-Transplant Cyclophosphamide</t>
  </si>
  <si>
    <t>NCT04246840 - Study Through Imaging of Mediastinal and Abdominopelvic Secondary Lymphoid Organs (Lymph Nodes) in Patients With Severe Combined Immunodeficiencies (SCID) Who Have Recieved Bone Narrow Allograft</t>
  </si>
  <si>
    <t>NCT04339777 - A Phase II Study of Allogeneic Hematopoietic Stem Cell Transplant for Patients With Inborn Errors of Immunity</t>
  </si>
  <si>
    <t>NCT04354129 - Safety, Tolerability, and Patient Satisfaction of 16.5% Subcutaneous Immunoglobulin (Cutaquig®) Treatment by Rapid Push in Patients With Primary or Secondary Immunodeficiency (PID or SID)</t>
  </si>
  <si>
    <t>NCT04356053 - Systematic Screening for Primary Immunodeficiencies in Patients Hospitalized for Severe Infections in Intensive Care : DIPREA</t>
  </si>
  <si>
    <t>NCT04370795 - Matched Related and Unrelated Donor Stem Cell Transplantation for Severe Combined Immune Deficiency (SCID): Busulfan-based Conditioning With h-ATG, Radiation, and Sirolimus</t>
  </si>
  <si>
    <t>NCT04414046 - Study of TCR Alpha Beta T-Cell and CD19 B-Cell Depletion for Hematopoietic Cell Transplantation From Haploidentical Donors in the Treatment of Primary Immunodeficiency and Inherited Metabolic Disorders in Children</t>
  </si>
  <si>
    <t>NCT04528355 - A Prospective Outcomes Study of Pediatric and Adult Patients With Non-Malignant Disorders Undergoing Umbilical Cord Blood, Bone Marrow, or Peripheral Blood Stem Cell Transplantation With a Reduced-Intensity Conditioning Regimen (PRO-RIC)</t>
  </si>
  <si>
    <t>NCT04554914 - An Open-label, Single-arm, Multicohort, Phase 2 Study to Assess the Efficacy and Safety of Tabelecleucel in Subjects With Epstein-Barr Virus-associated Diseases (EBVision)</t>
  </si>
  <si>
    <t>NCT04561115 - A Phase 3, Multicenter, Open-label, Single-sequence, Cross-over, Bioequivalence Study to Evaluate the Pharmacokinetics, Safety, and Tolerability of IVIG-PEG Compared to Gamunex-C in Subjects With Primary Humoral Immunodeficiency</t>
  </si>
  <si>
    <t>NCT04566692 - A Multi-center, Single-Sequence, Open-label Study to Evaluate IGSC 20% Biweekly Dosing in Treatment-Experienced Subjects and Loading/Maintenance Dosing in Treatment-Naïve Subjects With Primary Immunodeficiency</t>
  </si>
  <si>
    <t>NCT04581460 - Primitive Immunodeficiency and Pregnancy</t>
  </si>
  <si>
    <t>NCT04640142 - Prospective, Open-label, Single-arm, Multicentre Phase 3 Study to Evaluate the Pharmacokinetics, Efficacy, Tolerability, and Safety of Subcutaneous Human Immunoglobulin (Newnorm) in Patients With Primary Immunodeficiency Diseases</t>
  </si>
  <si>
    <t>NCT04691622 - Adoptive T Lymphocyte Administration for Chronic Norovirus Treatment in Immunocompromised Hosts</t>
  </si>
  <si>
    <t>NCT04702243 - Defining the Genetic Etiology of Suppurative Lung Disease in Children and Adults</t>
  </si>
  <si>
    <t>NCT04784364 - Biologics And Clinical Immunology Cohort at Sinai</t>
  </si>
  <si>
    <t>NCT04797260 - Phase I/II Clinical Trial of Autologous Hematopoietic Stem Cell Gene Therapy in RAG1-Deficient Severe Combined Immunodeficiency</t>
  </si>
  <si>
    <t>NCT04842643 - A Phase 3, Open-label, Non-controlled, Multi-dose, Extension Study to Evaluate the Long-term Safety and Tolerability of IGSC, 20% in Japanese Subjects With Primary Immunodeficiency Disease (PID)</t>
  </si>
  <si>
    <t>NCT04864886 - Metabolic Profiling of Immune Responses in Immune-Mediated Diseases</t>
  </si>
  <si>
    <t>NCT04902807 - Conception of a Diagnosis, Prognosis and Therapeutic Decision Tool for Patients With Autoimmunity and Inflammation</t>
  </si>
  <si>
    <t>NCT04919018 - Characterizing the Upper Airway Manifestations in Primary Ciliary Dyskinesia and Primary Immunodeficiencies</t>
  </si>
  <si>
    <t>NCT04925375 - Abatacept for the Treatment of Common Variable Immunodeficiency With Interstitial Lung Disease</t>
  </si>
  <si>
    <t>NCT04944979 - A Phase III, Open-label, Prospective, Multicenter Study to Assess Efficacy, Safety, and Pharmacokinetics of Kedrion Intravenous Human Normal Immunoglobulin (IVIg) 10% in Pediatric Patients Affected by Primary Immunodeficiency Disease (PID)</t>
  </si>
  <si>
    <t>NCT04959890 - Methodology Study to Investigate the Utility of Retroviral Insertion Site Analysis in Samples From Subjects Treated With Strimvelis Gene Therapy.</t>
  </si>
  <si>
    <t>NCT05040256 - Neurologic and Immunologic Characteristics of CTLA-4 and LRBA Hereditary Deficiency</t>
  </si>
  <si>
    <t>NCT05070455 - An Open Label, Multicenter Study to Evaluate the Pharmacokinetics, Efficacy and Safety of ASCENIV™ (IGIV) in Pediatric Subjects With Primary Immunodeficiency Diseases (PIDD)</t>
  </si>
  <si>
    <t>NCT05150340 - A Phase 3, Open-label, Non-controlled Study to Evaluate the Pharmacokinetics, Safety and Tolerability, and Efficacy of TAK-771 in Japanese Subjects With Primary Immunodeficiency Diseases (PID)</t>
  </si>
  <si>
    <t>NCT05193552 - A Prospective Study of the Utility of Spirometry to Identify and Manage Immunoglobulin Replacement Dosage in Primary Antibody Deficiency in Patients With Potentially Reversible Airway Disease</t>
  </si>
  <si>
    <t>NCT05236764 - T-Cell Receptor Alpha Beta+/CD19+ Depletion in Haploidentical Allogeneic Hematopoietic Cell Transplantation (Allo-HCT) for Adult and Pediatric Patients With Hematological Malignancies and Non-malignant Disorders</t>
  </si>
  <si>
    <t>NCT05298930 - A Feasibility Study Evaluating Connected Bikes as a Means of Adapted Physical Activity in Children, Adolescents and Young Adults Requiring Hematopoietic Stem Cell Transplantation</t>
  </si>
  <si>
    <t>NCT05481554 - Composition and Function of Gut Microbiota in Porto-sinusoidal Vascular Disease Associated With Variable Common Immunodeficiency</t>
  </si>
  <si>
    <t>NCT05513586 - A Phase 3, Open-label, Non-controlled, Extension Study to Evaluate the Long-term Safety of TAK-771 in Japanese Patients With Primary Immunodeficiency Disease (PID)</t>
  </si>
  <si>
    <t>NCT05593588 - Senolytics as a Novel Treatment for Interstitial Lung Disease in Common Variable Immunodeficiency (CVID)</t>
  </si>
  <si>
    <t>NCT05651113 - Exploring Parents' and Health Professionals' Experiences of Screening for Severe Combined Immunodeficiency</t>
  </si>
  <si>
    <t>NCT05755035 - Multicenter, Prospective, Open-label, Randomized, Crossover Study to Evaluate Pharmacokinetics (PK), Safety, and Tolerability of TAK-881 in Primary Immunodeficiency Diseases (PIDD)</t>
  </si>
  <si>
    <t>NCT05999422 - Comparison of Exercise Capacity, Physical Activity Level and Quality of Life of Children With Primary Immunodeficiency With Healthy Children</t>
  </si>
  <si>
    <t>NCT06014463 - Evaluation of Adult Patients With Immunodeficiency Within the Scope of the International Classification of Functionality, Ability and Health</t>
  </si>
  <si>
    <t>NCT06076642 - Long-term Safety and Tolerability of TAK-881 in Subjects With Primary Immunodeficiency Diseases (PIDD)</t>
  </si>
  <si>
    <t>NCT06089122 - Efficacy, Safety, and Pharmacokinetics of Shu Yang IVIG in Patients With Primary Immunodeficiency</t>
  </si>
  <si>
    <t>NCT06092528 - Investigation of the Effects of Pulmonary Rehabilitation on Exercise Capacity, Muscle Oxygenation and Physical Activity Level in Children With Primary Immunodeficiency</t>
  </si>
  <si>
    <t>NCT06145100 - Evaluation of Ultrasound Parameters and Liver and Spleen Stiffness for Prediction of Clinically Significant Portal Hypertension in Patients With Common Variable Immunodeficiency Syndrome</t>
  </si>
  <si>
    <t>NCT06150534 - Evaluating the Treatment Experience During Initiation of Subcutaneous Immunoglobulin Replacement (SCIG) Therapy at Home Using Alexa Skill</t>
  </si>
  <si>
    <t>NCT06150833 - Efficacy, Safety and Pharmacokinetics of Boya Intravenous Immunoglobulin (IVIG) in Participants With Primary Immunodeficiency</t>
  </si>
  <si>
    <t>NCT06173128 - Alteration of Respiratory Microbiota and Local Immune Response in Common Variable Immunodeficiency</t>
  </si>
  <si>
    <t>NCT06249997 - An Open-Label, Non-Randomized Study to Assess the Safety and Efficacy of Leniolisib in Japanese Patients With Activated Phosphoinositide 3-Kinase Delta Syndrome (APDS) Followed By An Open-Label Long-Term Extension</t>
  </si>
  <si>
    <t>NCT06355323 - Bronchiectasis Prevalence in Patients With Primary Humoral Immunodefiency in Champagne-Ardenne Region, France</t>
  </si>
  <si>
    <t>NCT06519734 - Primitive Immunodeficiency, Intrauterine Devices and Menstrual Hygiene Products</t>
  </si>
  <si>
    <t>NCT06549114 - A Study to Assess Safety and Tolerability, and Explore Efficacy of Leniolisib for Immune Dysregulation in Primary Immunodeficiency Disorders</t>
  </si>
  <si>
    <t>NCT06565078 - Post-marketing Database Survey: A Cohort Study to Evaluate the Safety of Cuvitru in Patients With Primary Immunodeficiency Using the PIDJ2 (Primary Immunodeficiency Database in Japan) Registry</t>
  </si>
  <si>
    <t>ISRCTN11859866 - Effect of memory T cells after mismatched donor transplant in children with immunodeficiency</t>
  </si>
  <si>
    <t>PMID: 38972509 - Pharmacokinetics of Briquilimab as a Conditioning Agent for Hematopoietic Stem Cell Transplantation in Patients With Severe Combined Immunodeficiency, Myelodysplastic Syndrome, or Acute Myeloid Leukemia</t>
  </si>
  <si>
    <t>PMID: 36818468 - Low rates of headache and migraine associated with intravenous immunoglobulin infusion using a 15-minute rate escalation protocol in 123 patients with primary immunodeficiency</t>
  </si>
  <si>
    <t>PMID: 36399712 - A randomized, placebo-controlled phase 3 trial of the PI3Kδ inhibitor leniolisib for activated PI3Kδ syndrome</t>
  </si>
  <si>
    <t>PMID: 36546626 - Lentiviral Gene Therapy for Artemis-Deficient SCID</t>
  </si>
  <si>
    <t>PMID: 36128795 - Systemic IgG exposure and safety in patients with primary immunodeficiency: a randomized crossover study comparing a novel investigational wearable infusor versus the Crono pump</t>
  </si>
  <si>
    <t>PMID: 35944615 - Efficacy, safety and pharmacokinetics of a new 10% normal human immunoglobulin for intravenous infusion, BT595, in children and adults with primary immunodeficiency disease</t>
  </si>
  <si>
    <t>PMID: 35914227 - Evaluation of clonal hematopoiesis in pediatric ADA-SCID gene therapy participants</t>
  </si>
  <si>
    <t>PMID: 35764638 - Lentivector cryptic splicing mediates increase in CD34+ clones expressing truncated HMGA2 in human X-linked severe combined immunodeficiency</t>
  </si>
  <si>
    <t>PMID: 35671392 - Outcomes following treatment for ADA-deficient severe combined immunodeficiency: a report from the PIDTC</t>
  </si>
  <si>
    <t>PMID: 35121105 - Subcutaneous Gammanorm® by pump or rapid push infusion: Impact of the device on quality of life in adult patients with primary immunodeficiencies</t>
  </si>
  <si>
    <t>PMID: 35058929 - Autoimmune Cytopenias and Dysregulated Immunophenotype Act as Warning Signs of Inborn Errors of Immunity: Results From a Prospective Study</t>
  </si>
  <si>
    <t>PMID: 35008008 - Pharmacokinetic modeling and simulation of subcutaneous and intravenous IgG dosing in patients with primary immunodeficiency diseases</t>
  </si>
  <si>
    <t>PMID: 34931880 - Infection rates and tolerability of three different immunoglobulin administration modalities in patients with primary immunodeficiency diseases</t>
  </si>
  <si>
    <t>PMID: 34587873 - Effect of Moderate Intensity Exercise on Infection Rates in Individuals with Primary Immunodeficiency Disease: A Preliminary Pilot Randomized Investigation</t>
  </si>
  <si>
    <t>PMID: 34599947 - Functions of NK and iNKT cells in pediatric and adult CVID, ataxia telangiectasia and agammaglobulinemia patients</t>
  </si>
  <si>
    <t>PMID: 34305948 - Efficacy, Safety and Tolerability of a New 10% Intravenous Immunoglobulin for the Treatment of Primary Immunodeficiencies</t>
  </si>
  <si>
    <t>PMID: 34060650 - A single-center pilot study in Malaysia on the clinical utility of whole-exome sequencing for inborn errors of immunity</t>
  </si>
  <si>
    <t>PMID: 33974038 - Long-term outcomes after gene therapy for adenosine deaminase severe combined immune deficiency</t>
  </si>
  <si>
    <t>PMID: 33876203 - SASH3 variants cause a novel form of X-linked combined immunodeficiency with immune dysregulation</t>
  </si>
  <si>
    <t>PMID: 33855675 - Abnormal SCID Newborn Screening and Spontaneous Recovery Associated with a Novel Haploinsufficiency IKZF1 Mutation</t>
  </si>
  <si>
    <t>PMID: 33737935 - Recombinant Human C1 Esterase Inhibitor for the Management of Adverse Events Related to Intravenous Immunoglobulin Infusion in Patients With Common Variable Immunodeficiency or Polyneuropathy: A Pilot Open-Label Study</t>
  </si>
  <si>
    <t>PMID: 33738703 - Safety and tolerability of IgPro10 in Japanese primary immunodeficiency patients: a registrational study</t>
  </si>
  <si>
    <t>PMID: 33662367 - Loss of DIAPH1 causes SCBMS, combined immunodeficiency, and mitochondrial dysfunction</t>
  </si>
  <si>
    <t>PMID: 33409867 - Safety and Tolerability of Subcutaneous IgPro20 at High Infusion Parameters in Patients with Primary Immunodeficiency: Findings from the Pump-Assisted Administration Cohorts of the HILO Study</t>
  </si>
  <si>
    <t>PMID: 33223097 - Abatacept Use Is Associated with Steroid Dose Reduction and Improvement in Fatigue and CD4-Dysregulation in CVID Patients with Interstitial Lung Disease</t>
  </si>
  <si>
    <t>PMID: 33115853 - Seletalisib for Activated PI3Kδ Syndromes: Open-Label Phase 1b and Extension Studies</t>
  </si>
  <si>
    <t>PMID: 32603431 - Extended clinical and immunological phenotype and transplant outcome in CD27 and CD70 deficiency</t>
  </si>
  <si>
    <t>PMID: 31910997 - Pharmacometric Analysis of IgPro10 in Japanese and Non-Japanese Patients With Primary Immunodeficiency</t>
  </si>
  <si>
    <t>PMID: 31814328 - Pharmacokinetic Analysis of Weekly Versus Biweekly IgPro20 Dosing in Patients With Primary Immunodeficiency</t>
  </si>
  <si>
    <t>PMID: 31629014 - Combined immunodeficiency caused by a loss-of-function mutation in DNA polymerase delta 1</t>
  </si>
  <si>
    <t>PMID: 31921145 - Failure of B Cell Tolerance in CVID</t>
  </si>
  <si>
    <t>PMID: 31847720 - Pharmacokinetic properties of Privigen(®) in Japanese patients with primary immunodeficiency</t>
  </si>
  <si>
    <t>PMID: 31689275 - 18F-FDG PET Imaging Features of Patients With Autoimmune Lymphoproliferative Syndrome</t>
  </si>
  <si>
    <t>PMID: 31621458 - Immune globulin subcutaneous, human - klhw 20% for primary humoral immunodeficiency: an open-label, Phase III study</t>
  </si>
  <si>
    <t>PMID: 31572362 - Non-parametric Heat Map Representation of Flow Cytometry Data: Identifying Cellular Changes Associated With Genetic Immunodeficiency Disorders</t>
  </si>
  <si>
    <t>PMID: 31445098 - Common variable immunodeficiency-associated endotoxemia promotes early commitment to the T follicular lineage</t>
  </si>
  <si>
    <t>PMID: 31228628 - Tolerability of Ig20Gly during onboarding in patients with primary immunodeficiency diseases</t>
  </si>
  <si>
    <t>PMID: 31493539 - Prospective Study of a Novel, Radiation-Free, Reduced-Intensity Bone Marrow Transplantation Platform for Primary Immunodeficiency Diseases</t>
  </si>
  <si>
    <t>DRKS00017736 - Safety and efficacy of abatacept (sc) in patients with CTLA4 insufficiency or LRBA deficiency</t>
  </si>
  <si>
    <t>DRKS00027556 - Influence of abatacept on normalization of the immune system in patients with CVID and immune dysregulation</t>
  </si>
  <si>
    <t>DRKS00034189 - Study to analyze the disease-modulatory properties of immunoglobulin replacement therapy in patients with variable immunodeficiency syndrome (CVID)</t>
  </si>
  <si>
    <t>DRKS00032712 - Characterization of lymphocytes in pediatric patients with congenital immunodeficiencies</t>
  </si>
  <si>
    <t>DRKS00020522 - Evaluation of the Immunoglobulin G Dried Blot Spot (IgG-DBS) diagnostic kit compared to the standard method for monitoring serum IgG levels</t>
  </si>
  <si>
    <t>jRCTs031230296 - A multicenter, open-label, uncontrolled study investigating the safety and tolerability of sirolimus in patients with primary immunodeficiency</t>
  </si>
  <si>
    <t>jRCT2031210309 - Phase 2 study of the efficacy and safety of sirolumus in patients with primary immunodeficiency</t>
  </si>
  <si>
    <t>UMIN000045622 - A Patient-Reported Outcomes Study in Patients with Primary Immunodeficiency in Japan: A Non-interventional Prospective Observational Study</t>
  </si>
  <si>
    <t>ACTRN12621001059853 - Evaluating Vi-polysaccharide vaccine responses in specific antibody deficiency patients receiving immunoglobulin replacement.</t>
  </si>
  <si>
    <t>NCT04140539 - A Single Arm, Open Label Clinical Study to Enable Process Validation of Commercial Grade Ex Vivo Hematopoietic Stem Cell Gene Therapy (OTL-101) in Subjects With Severe Combined Immunodeficiency Due to Adenosine Deaminase Deficiency (ADA-SCID</t>
  </si>
  <si>
    <t>NCT04346108 - A Phase 3, Open-label, Non-controlled, Multi-dose Study to Evaluate the Pharmacokinetics, Safety and Tolerability, and Efficacy of Immune Globulin Subcutaneous (Human), 20% Solution (IGSC, 20%) in Japanese Subjects With Primary Immunodeficie</t>
  </si>
  <si>
    <t>NCT04565015 - An Open-Label, Single-Arm, Historically Controlled, Prospective, Multi-Center Phase III Study to Evaluate the Pharmacokinetics and Safety of Immune Globulin Intravenous (Human) GC5107 in Pediatric Subjects With Primary Humoral Immunodeficien</t>
  </si>
  <si>
    <t>NCT05071222 - A Phase 1/2 Open Label Non Randomized Study, Multicentric, Single Arm Evaluating the Safety and Efficacy of Gene Therapy of the Severe Combined Immunodeficiency (SCID) Caused by Mutations in the Human DCLRE1C Gene (Artemis) by Transplantatio</t>
  </si>
  <si>
    <t>NCT05432310 - Efficacy and Safety of Cryopreserved Autologous Mobilized Peripheral Blood CD34+ Hematopoietic Stem and Progenitor Cells Transduced Ex Vivo With the EFS-ADA Lentiviral Vector in Patients With Severe Combined Immune Deficiency Due To Adenosin</t>
  </si>
  <si>
    <t>NCT05438407 - An Open-label, Single Arm Study of the Safety, Pharmacokinetics, Pharmacodynamics, and Efficacy of Leniolisib in Pediatric Patients Aged 4 to 11 Years With Activated Phosphoinositide 3-Kinase Delta Syndrome Followed by an Open-label Long-ter</t>
  </si>
  <si>
    <t>NCT05476653 - A Prospective Monocentric Study to Assess the Concordance of Lung MRI Compared to Chest CT Scan to Assess the Extent and Severity of Bronchial and Parenchymal Pulmonary Lesions in Adult Patients With Primary Immune Deficiency (PID): IRM vs S</t>
  </si>
  <si>
    <t xml:space="preserve">NCT05693129 - An Open-label, Single Arm Study of the Safety, Pharmacokinetics, Pharmacodynamics, and Efficacy of Leniolisib in Pediatric Patients (Aged 1 to 6 Years) With APDS (Activated Phosphoinositide 3-Kinase Delta Syndrome) Followed by an Open-label </t>
  </si>
  <si>
    <t>EudraCT Number: 2022-001624-14 - An Open-Label, Single Arm Study of the Safety, Pharmacokinetics, Pharmacodynamics, and Efficacy of Leniolisib in Pediatric Patients (Aged 4 to 11 Years) With APDS (Activated Phosphoinositide 3-Kinase Delta Syndrome) Follow</t>
  </si>
  <si>
    <t>https://www2.aeplan.co.jp/jsi2024/program.html</t>
  </si>
  <si>
    <t>https://www2.aeplan.co.jp/jsi2023/wp-content/uploads/2023/12/program_final_20231227.pdf</t>
  </si>
  <si>
    <t>https://www2.aeplan.co.jp/jsi2022/wp-content/uploads/2022/12/Program.pdf</t>
  </si>
  <si>
    <t>https://www2.aeplan.co.jp/jsi2021/images/common/program_of_the_japanese_society_for_immunology_jsi_vol50.pdf</t>
  </si>
  <si>
    <t>https://icongroup.co.jp/49immunology/english/program/</t>
  </si>
  <si>
    <t>https://www.icongroup.co.jp/52jsci/program/52JSCI_program_0807.pdf</t>
  </si>
  <si>
    <t>Japanese Society of Clinical Immunology | Japanese Society of Gastrointestinal Immunology</t>
  </si>
  <si>
    <t>https://www.icongroup.co.jp/51jsci/program/51JSCI_program-1003.pdf</t>
  </si>
  <si>
    <t>https://www.icongroup.co.jp/50jsci/program/program_0906.pdf</t>
  </si>
  <si>
    <t>https://site2.convention.co.jp/49jsci/program/program_1020.pdf</t>
  </si>
  <si>
    <t>https://site2.convention.co.jp/48jsci/images/program1009.pdf</t>
  </si>
  <si>
    <t>Korean Association of Immunologists | International Cytokine &amp; Interferon Society</t>
  </si>
  <si>
    <t>https://cytokines2024.org/program/scientific.php</t>
  </si>
  <si>
    <t>https://www.kai2023.kr/?pmode=scientificprogram</t>
  </si>
  <si>
    <t>https://iuis.org/events/the-korean-association-of-immunologists-kai-international-meeting-2022/</t>
  </si>
  <si>
    <t>https://iuis.org/events/the-korean-association-of-immunologists-international-meeting-2021-hybrid/</t>
  </si>
  <si>
    <t>https://www.kaimm.org/abstract/2020_fall/program/scientific.html</t>
  </si>
  <si>
    <t>https://sei2023.es/images/site/PROGRAMA_SEI_2023_A4.pdf</t>
  </si>
  <si>
    <t>https://sei2022.com/images/PROGRAMA_SEI_2022_a4.pdf</t>
  </si>
  <si>
    <t>https://www.inmunologia.org/images/site/sei-2021_program-final.pdf</t>
  </si>
  <si>
    <t>https://www.focisnet.org/wp-content/uploads/FOCIS2024_Program_FINAL.pdf</t>
  </si>
  <si>
    <t>https://www.focisnet.org/wp-content/uploads/FOCIS-2023-Program-1.pdf</t>
  </si>
  <si>
    <t>https://cdn.ymaws.com/focisnet.site-ym.com/resource/resmgr/files/focis_2022/focis2022_program_reduced_fo.pdf</t>
  </si>
  <si>
    <t>https://cdn.ymaws.com/focisnet.site-ym.com/resource/resmgr/focis_2021_final_program.pdf</t>
  </si>
  <si>
    <t>https://www.focisnet.org/wp-content/uploads/FOCIS2020_Program_Final-compressed-compressed.pdf</t>
  </si>
  <si>
    <t>https://neuroimmuno2024.sbi.org.br/</t>
  </si>
  <si>
    <t>https://immuno2023.sbi.org.br/wp-content/uploads/2023/09/SCIENTIFIC_PROGRAM_IMMUNO_2023_2609.pdf</t>
  </si>
  <si>
    <t>https://congressos.sbi.org.br/immuno2022/storage/programa-final-220923.pdf</t>
  </si>
  <si>
    <t>https://www.kongreuzmani.com/45-annual-meeting-of-the-brazilian-society-for-immunology-immuno-2020.html</t>
  </si>
  <si>
    <t>https://www.stemcellsciencenews.com/event/36th-annual-csi-conference/</t>
  </si>
  <si>
    <t>https://www.csi-sci.ca/_Library/_documents/FINAL-PROGRAM-_2023.pdf</t>
  </si>
  <si>
    <t>https://www.csi-sci.ca/_Library/_documents/CSI_Program_at_a_Glance-final.pdf</t>
  </si>
  <si>
    <t>https://www.csi-sci.ca/_Library/_documents/ProgramDetail33rdCSI_Virtual_Conference.pdf</t>
  </si>
  <si>
    <t>https://eaaci.org/agenda/eaaci-congress-2024/</t>
  </si>
  <si>
    <t>https://eaaci2023.process.y-congress.com/ScientificProcess/Data/67/386/print/EAACI%202023-en.pdf</t>
  </si>
  <si>
    <t>https://eaaci2022.process.y-congress.com/scientificProcess/Data/67/256/print/EAACI%20Hybrid%20Congress%202022-en.pdf</t>
  </si>
  <si>
    <t>https://eaaci.org/events_congress/eaaci-hybrid-congress-2021/scientific-programme/scientific-programme/</t>
  </si>
  <si>
    <t>https://eaaci.org/documents/congress/2020/EAACI_Digital_Congress_2020_PDF_Programme-JUNE%206-PM.pdf</t>
  </si>
  <si>
    <t>https://jscia54.jp/index.html</t>
  </si>
  <si>
    <t>http://jscia53.umin.jp/program.html</t>
  </si>
  <si>
    <t>http://jscia52.umin.jp/program.html</t>
  </si>
  <si>
    <t>https://www.jscia.org/event_past.html</t>
  </si>
  <si>
    <t>http://jscia50.umin.jp/program.html</t>
  </si>
  <si>
    <t>https://inmunologia.org.ar/wp-content/uploads/2023/11/PROGRAM-FINAL.pdf</t>
  </si>
  <si>
    <t>https://inmunologia.org.ar/reunion-conjunta-anual-2022/</t>
  </si>
  <si>
    <t>https://inmunologia.org.ar/programa-sai-reunion-anual/</t>
  </si>
  <si>
    <t>https://inmunologia.org.ar/documentos/pdf/Programa_SAIC_SAI_SAFIS_%202020.pdf</t>
  </si>
  <si>
    <t>https://congresoacaai.com/wp-content/uploads/2023/09/Programa-Congreso-Completo.pdf</t>
  </si>
  <si>
    <t>https://congresoacaai.com/home/</t>
  </si>
  <si>
    <t>https://events.dak2024.smart-abstract.com/#/grid</t>
  </si>
  <si>
    <t>https://allergiekongress.de/wp-content/uploads/2023/09/DAK23_Hauptprogramm_web_14_09_23.pdf</t>
  </si>
  <si>
    <t>https://allergiekongress.de/wp-content/uploads/2022/09/DAK22_Hauptprogramm_web_04.pdf</t>
  </si>
  <si>
    <t>https://allergiekongress.de/wp-content/uploads/2024/05/DAK21_Hauptprogramm_web_06.pdf</t>
  </si>
  <si>
    <t>https://allergiekongress.de/wp-content/uploads/2020/09/DAK20_Hauptprogramm_web_04.pdf</t>
  </si>
  <si>
    <t>https://siaaic2024.org/wp-content/uploads/2024/08/PROGRAMMA-SIAAIC-ROMA-2024.pdf</t>
  </si>
  <si>
    <t>https://angioedemaitaca.org/wp-content/uploads/2023/10/03.10.23_Programma-SIAAIC-Bologna-2023_con-loghi.pdf</t>
  </si>
  <si>
    <t>https://siica.it/wp-content/uploads/2022/07/Programma_XXXIV-CONGRESSO-NAZIONALE-SIAAIC_07.07.22.pdf</t>
  </si>
  <si>
    <t>https://eventi.infomed-online.it/wp-content/uploads/2021/10/14.07_Pubblicazione_Programma-Preliminare-XXXIII-Congresso-SIAAIC-2.pdf</t>
  </si>
  <si>
    <t>https://siica.it/wp-content/uploads/2023/05/Programma_SIICA_2023-1.pdf</t>
  </si>
  <si>
    <t>https://siica.it/wp-content/uploads/2022/01/siica2022-prog-0523-1.pdf</t>
  </si>
  <si>
    <t>https://www.aini.it/wp-content/uploads/2021/05/SIICA2021_FINAL.pdf</t>
  </si>
  <si>
    <t>https://site2.convention.co.jp/61jspaci/program/</t>
  </si>
  <si>
    <t>https://site2.convention.co.jp/60jspaci/english/program/</t>
  </si>
  <si>
    <t>https://www.apapari.org/news/2022-jspaci-apapari-joint-congress/</t>
  </si>
  <si>
    <t>http://jspaci58.umin.jp/dl/timetable02.pdf</t>
  </si>
  <si>
    <t>http://jspaci57.umin.jp/program/</t>
  </si>
  <si>
    <t>https://darhawaraa.com/%D8%AF%D9%84%D9%8A%D9%84-%D9%88%D8%B2%D8%A7%D8%B1%D8%A9-%D8%A7%D9%84%D8%B5%D8%AD%D8%A9-%D9%84%D8%B4%D9%87%D8%B1-%D8%A3%D8%A8%D8%B1%D9%8A%D9%84-%D9%84%D8%B9%D8%A7%D9%85-2024%D9%85/</t>
  </si>
  <si>
    <t>https://saais.org.sa/ar/news/0/2</t>
  </si>
  <si>
    <t>https://aphia2023.org/</t>
  </si>
  <si>
    <t>Asia-Pacific Histocompatibility and Immunogenetics Association | Indian Society for Histocompability and Immunogenecs</t>
  </si>
  <si>
    <t>https://static1.squarespace.com/static/5ed7478b1164f903067be731/t/618db0eea2a6b36c7ab53e12/1636675870666/ISHI+APHIA+CON+2021+Scientific+Program.pdf</t>
  </si>
  <si>
    <t>https://mailchi.mp/e1b5c0982a14/national-conference-wrap</t>
  </si>
  <si>
    <t>https://www.apardo.org/_files/ugd/0a4f38_37a8103eec2d4bb498274eddb22f4ef5.pdf</t>
  </si>
  <si>
    <t>https://www.apardo.org/_files/ugd/0a4f38_1bd08534163f4ba29a01f760fcbc9da8.pdf</t>
  </si>
  <si>
    <t>https://www.apardo.org/_files/ugd/0a4f38_347bbee85638424a8ad9c535186ba35c.pdf</t>
  </si>
  <si>
    <t>https://www.apardo.org/_files/ugd/0a4f38_d0dece7efd1040d8998888c4aa78760c.pdf</t>
  </si>
  <si>
    <t>https://www.rarediseasesinternational.org/wp-content/uploads/2020/11/Apardo-agenda-V1-1.pdf</t>
  </si>
  <si>
    <t>https://aliber.org/web/2023/03/13/memoria-tecnica-foro-de-alto-nivel-x-encuentro-iberoamericano-de-enfermedades-raras-aliber/</t>
  </si>
  <si>
    <t>https://aliber.org/web/2021/12/02/aliber-realiza-con-exito-el-ix-encuentro-iberoamericano-de-enfermedades-raras/</t>
  </si>
  <si>
    <t>https://aliber.org/web/2020/07/09/el-viii-congreso-encuentro-iberoamericano-de-enfermedades-raras-huerfanas-o-poco-frecuentes-este-ano-sera-online/</t>
  </si>
  <si>
    <t>https://www.rarediseasesinternational.org/rdi-membership-meeting-2024-wodc-europe/</t>
  </si>
  <si>
    <t>https://www.rarediseasesinternational.org/annual-meeting/</t>
  </si>
  <si>
    <t>https://www.rarediseasesinternational.org/wp-content/uploads/2022/04/Membership-meeting-Agenda-2022-1.pdf</t>
  </si>
  <si>
    <t>https://www.rarediseasesinternational.org/wp-content/uploads/2021/05/RDI-Membership-Meeting-2021-1.pdf</t>
  </si>
  <si>
    <t>https://www.rarediseasesinternational.org/wp-content/uploads/2020/05/1.-Agenda-Final-on-website.pdf</t>
  </si>
  <si>
    <t>Terrapinn</t>
  </si>
  <si>
    <t>https://www.terrapinn.com/conference/world-orphan-drug-congress/agenda.stm</t>
  </si>
  <si>
    <t>https://www.terrapinn.com/template/live/go/10848/22783</t>
  </si>
  <si>
    <t>https://alliancerm.org/event/world-orphan-drug-congress-2022/</t>
  </si>
  <si>
    <t>https://www.eversana.com/2021/11/02/world-orphan-drug-congress-europe-2021/</t>
  </si>
  <si>
    <t>https://www.syneoshealth.com/events/world-orphan-drug-congress-eu-2020</t>
  </si>
  <si>
    <t>https://alliance-maladies-rares.org/wp-content/uploads/2024/05/Programme-Congres-2024-Officiel.pdf</t>
  </si>
  <si>
    <t>https://alliance-maladies-rares.org/wp-content/uploads/2023/05/AMR_PROGRAMME_CONGRES-1.pdf</t>
  </si>
  <si>
    <t>https://alliance-maladies-rares.org/wp-content/uploads/2022/06/Programme-congre%CC%80s-2022-Officiel.pdf</t>
  </si>
  <si>
    <t>https://alliance-maladies-rares.org/wp-content/uploads/2021/06/programme-congres-Alliance-maladies-rares-040621.pdf</t>
  </si>
  <si>
    <t>https://alliance-maladies-rares.org/wp-content/uploads/2020/11/Alliance-maladies-rares-programme-congres-031120.pdf</t>
  </si>
  <si>
    <t>https://www.achse-online.de/de/was_tut_ACHSE/nakse/PDF/Nakse2023-Programmheft-WEB.pdf</t>
  </si>
  <si>
    <t>https://www.achse-online.de/de/was_tut_ACHSE/nakse/PDF/NAKSE2021-Programmheft_final.pdf</t>
  </si>
  <si>
    <t>https://nordsummit.org/agenda/</t>
  </si>
  <si>
    <t>Americas Health Foundation</t>
  </si>
  <si>
    <t>https://congresoercal.com/es/congreso-de-enfermedades-raras-agenda/#</t>
  </si>
  <si>
    <t>https://congresoercal.com/eventos-pasados/2023/</t>
  </si>
  <si>
    <t>https://rare-2022.com/congress-program/</t>
  </si>
  <si>
    <t>https://rare2023.com/program-timetable/</t>
  </si>
  <si>
    <t>https://fams-apps.kit-group.org/iuis2023/en-GB/pag?viewType=calendar&amp;view=vertical&amp;viewSize=L</t>
  </si>
  <si>
    <t>https://immunology.fr/en/event/sfi-dgfi-joint-meeting/</t>
  </si>
  <si>
    <t>https://oegai.org/wp-content/uploads/2021/11/DGfI_2022_First-Ann-10-21.pdf</t>
  </si>
  <si>
    <t>https://eci2024.org/wp-content/uploads/2024/08/ECI_2024_PROGRAMMA_DEF-20.pdf</t>
  </si>
  <si>
    <t>https://iuis.org/events/6th-european-congress-of-immunology-eci-2021/</t>
  </si>
  <si>
    <t>https://congresoceii.com/wp-content/uploads/2024/08/14_Programacion-academica-CCEII-rev.-14-08-Ago-2024.pdf</t>
  </si>
  <si>
    <t>https://www.turkimmunoloji.org/assets/2024/26.-UiK-bildiri-kitabi.pdf</t>
  </si>
  <si>
    <t>https://www.turkimmunoloji.org/assets/2020-XXV.-Ulusal-immunoloji-Kongresi_compressed.pdf</t>
  </si>
  <si>
    <t>https://www.klinikimmunoloji.com/</t>
  </si>
  <si>
    <t>https://www.klinikimmunoloji.com/dosyalar/9.Kongre-Programi.pdf</t>
  </si>
  <si>
    <t>https://www.kongreuzmani.com/8-klinik-immunoloji-kongresi-1.html</t>
  </si>
  <si>
    <t>https://www.kongreuzmani.com/7-klinik-immunoloji-kongresi.html</t>
  </si>
  <si>
    <t>https://www.kongreuzmani.com/6-klinik-immunoloji-kongresi.html</t>
  </si>
  <si>
    <t>Latin American and Caribbean Association of Immunology (ALACI) | Argentine Society of Immunology (SAI)</t>
  </si>
  <si>
    <t>https://alaci.org/subidas/alaci24/ALACI2024Program.pdf</t>
  </si>
  <si>
    <t>https://www.alaci.org/en/13th-latin-american-and-caribbean-congress-of-immunology-alaci-2022/</t>
  </si>
  <si>
    <t>https://efi-conference.org/fileadmin/Congress_2024/program/EFI2024_Final_Program-17-5.pdf</t>
  </si>
  <si>
    <t>https://efi-web.org/news/efi2023-36th-european-immunogenetics-and-histocompatibility-conference</t>
  </si>
  <si>
    <t>https://efi-conference.org/fileadmin/Congress_2022/user_upload/Sponsorbrochure_EFF2022_A4_29okt_new.pdf</t>
  </si>
  <si>
    <t>https://bshi.org.uk/event/34th-european-immunogenetics-and-histocompatibility-conference/</t>
  </si>
  <si>
    <t>https://congresoanualaaaeic.com.ar/media/programa2024.pdf</t>
  </si>
  <si>
    <t>https://conasmar2024.com.br/programa/CONASMAR2024_Programa_Oficial_v08.pdf</t>
  </si>
  <si>
    <t>https://alerjikongresi.com/bilimsel-program/</t>
  </si>
  <si>
    <t>https://allerji.kongresi.info/docs/Allerji%202023%20program.pdf?a=200</t>
  </si>
  <si>
    <t>https://www.aid.org.tr/xxviii-ulusal-alerji-ve-immunoloji-kongresi-ardindan-2021/</t>
  </si>
  <si>
    <t>https://www.aid.org.tr/xxvii-ulusal-alerji-ve-immunoloji-kongresi-24-28-ekim-2020/#:~:text=Ulusal%20Alerji%20ve%20Klinik%20%C4%B0mm%C3%BCnoloji%20Kongresinin%2C%20b%C3%BCt%C3%BCn%20%C3%A7abalar%C4%B1m%C4%B1za%20ra%C4%9Fmen%20fiziksel,2020%20tarihlerinde%20sanal%20olarak%20ger%C3%A7ekle%C5%9Ftirece%C4%9Fiz.</t>
  </si>
  <si>
    <t>https://bsaciconference.org/wp-content/uploads/2024/09/BSACI-2024-programme-for-website_05-09-24.pdf</t>
  </si>
  <si>
    <t>https://www.bsaci.org/education-and-events/meetings/past-bsaci-conference-photos/bsaci-annual-conference-2023/</t>
  </si>
  <si>
    <t>https://www.bsaci.org/education-and-events/meetings/past-bsaci-conference-photos/wao-bsaci-2022-uk-conference/</t>
  </si>
  <si>
    <t>https://www.bsaci.org/education-and-events/meetings/past-bsaci-conference-photos/2021-bsaci-conference/</t>
  </si>
  <si>
    <t>https://www.aaaai.org/Aaaai/media/Media-Library-PDFs/Members%20Area/am24-FinProg-v19_lo-res.pdf</t>
  </si>
  <si>
    <t>https://www.aaaai.org/Aaaai/media/Media-Library-PDFs/About/am23-FinProg-v21-lores.pdf</t>
  </si>
  <si>
    <t>https://plan.core-apps.com/aaaai2022/events</t>
  </si>
  <si>
    <t>https://aaaai.planion.com/Web.User/SearchSessions?ACCOUNT=AAAAI&amp;CONF=AM2021&amp;USERPID=PUBLIC&amp;ssoOverride=OFF&amp;MOPT=Search_Sessions&amp;standalone=YES</t>
  </si>
  <si>
    <t>https://plan.core-apps.com/tristar_aaaai20/events</t>
  </si>
  <si>
    <t>https://wsaai.s3.amazonaws.com/2024/wsaai-program-2024.pdf</t>
  </si>
  <si>
    <t>https://wsaai.s3.amazonaws.com/2023/wsaai-program-2023.pdf</t>
  </si>
  <si>
    <t>https://wsaai.s3.amazonaws.com/2022/2022-wsaai-program.pdf</t>
  </si>
  <si>
    <t>https://www.emedevents.com/c/medical-conferences-2020/western-society-of-allergy-asthma-and-immunology-wsaai-58th-annual-scientific-session</t>
  </si>
  <si>
    <t>https://www.apaaaci2024.com/scientific-program.php</t>
  </si>
  <si>
    <t>https://www.apaaaci2023.com/scientific-program.php</t>
  </si>
  <si>
    <t>https://www.apaaaci2023.com/apaaaci2022.php</t>
  </si>
  <si>
    <t>https://www.esanum.com/apaaaci-2021-international-conference</t>
  </si>
  <si>
    <t>https://ipopi.org/asia2024/</t>
  </si>
  <si>
    <t>https://ipopi.org/wp-content/uploads/2023/01/Regional-Asian-PID-Meeting-External-Programme-FINAL.pdf</t>
  </si>
  <si>
    <t>https://ipopi.org/ipopi-3rd-regional-asian-pid-meeting/</t>
  </si>
  <si>
    <t>https://ipopi.org/wp-content/uploads/2024/06/IPIC5_congress_report_long_WEB.pdf</t>
  </si>
  <si>
    <t>https://www.congresoidp.com.ar/</t>
  </si>
  <si>
    <t>https://aapidp.com.ar/noticias_detalle.php?IdNoticia=1679</t>
  </si>
  <si>
    <t>https://aapidp.com.ar/noticias_detalle.php?IdNoticia=1690</t>
  </si>
  <si>
    <t>http://www.anadip.org/index.php/26-1-congreso-virtual-para-pacientes-con-inmunodeficiencias-primarias</t>
  </si>
  <si>
    <t>https://www.fadepof.org.ar/noticias_detalle.php?IdNoticia=1620</t>
  </si>
  <si>
    <t>https://www.geneticalliance.org.au/news.php?Annual-General-Meeting-101</t>
  </si>
  <si>
    <t>https://www.raredisorders.ca/events/upcoming-events/fall-2024-rare-disease-conference</t>
  </si>
  <si>
    <t>https://www.raredisorders.ca/uploads/Documents/CORD-Nov-Conf-Agenda-Nov-2023-FINALweb.pdf</t>
  </si>
  <si>
    <t>https://www.raredisorders.ca/uploads/Documents/CORD-Fall-Conference-Nov-2022-FINAL-Agenda_logosV2.pdf</t>
  </si>
  <si>
    <t>https://www.raredisorders.ca/uploads/Documents/CORD-Fall-2021-Conference-Agenda-FINAL-1.pdf</t>
  </si>
  <si>
    <t>https://www.dgenes.es/wp-content/uploads/PROGRAMA-CONGRESO-ER-2023-24OCT.pdf</t>
  </si>
  <si>
    <t>https://www.dgenes.es/wp-content/uploads/PROGRAMA-DEFINITIVO-CONGRESO-2022.pdf</t>
  </si>
  <si>
    <t>https://www.dgenes.es/wp-content/uploads/PROGRAMA-CONGRESO-29oc.pdf</t>
  </si>
  <si>
    <t>https://www.dgenes.es/wp-content/uploads/programa-congreso-23nov.pdf</t>
  </si>
  <si>
    <t>https://ercalgroup.org/wp-content/uploads/2023/06/UPDT-ENGLISH.pdf</t>
  </si>
  <si>
    <t>Asia Pacific Society for Immunodeficiencies (APSID) | Japanese Society of Immunodeficiency and Autoinflammation</t>
  </si>
  <si>
    <t>https://jsiad.org/wp-content/uploads/2024/03/APSID-JSIAD2024-Program-20240322.pdf</t>
  </si>
  <si>
    <t>Asia Pacific Society for Immunodeficiencies (APSID) | Malaysian Society of Allergy and Immunology</t>
  </si>
  <si>
    <t>https://msaiapsid2022.allergymsai.org/scientific-program/</t>
  </si>
  <si>
    <t>https://www.ispid.org.in/downloads/APSID%20Congress%20brochure.pdf</t>
  </si>
  <si>
    <t>https://apsid2023.com/front/page/APSID_program%20book_v14_20Apr2023_online.pdf</t>
  </si>
  <si>
    <t>International Nursing Group for Immunodeficiencies | European Society for Immunodeficiencies | International Patient Organisation for Primary Immunodeficiencies</t>
  </si>
  <si>
    <t>https://cslide.ctimeetingtech.com/esid24/attendee</t>
  </si>
  <si>
    <t>https://cslide.ctimeetingtech.com/esid22/attendee/confcal/presentation</t>
  </si>
  <si>
    <t>https://cslide.ctimeetingtech.com/esid20/attendee/confcal/presentation</t>
  </si>
  <si>
    <t>https://cslide.ctimeetingtech.com/esid21/attendee/confcal/presentation</t>
  </si>
  <si>
    <t>https://waididcongress.org/wordpress/wp-content/uploads/V7-PROGRAMMA-PRELIMINARE-Relatori_compressed-2.pdf</t>
  </si>
  <si>
    <t>https://www.ekmud.org.tr/etkinlik/251-4th-waidid-congress</t>
  </si>
  <si>
    <t>https://www.waidid.org/uploads/media/PROGRAMMA_FINAL%20FINAL_compressed.pdf</t>
  </si>
  <si>
    <t>https://lasid.org/meeting-2023/</t>
  </si>
  <si>
    <t>https://www.sochipe.cl/subidos/congresos/docs/Programa%20LASID.pdf</t>
  </si>
  <si>
    <t>https://asbai.org.br/wp-content/uploads/2024/06/Programacao_BRAGID-2024.pdf</t>
  </si>
  <si>
    <t>https://jsiad.org/wp-content/uploads/2023/01/JSIAD2023_schedule_jpen.pdf</t>
  </si>
  <si>
    <t>https://www.jsiad.org/wp-content/uploads/2022/01/time-table.pdf</t>
  </si>
  <si>
    <t>http://jsiad-4thmeeting.kenkyuukai.jp/images/sys/information/20210129085657-E648042C1D31D385E56194B1550350833902F46649C97F90A1EE4570E98B7FC2.pdf</t>
  </si>
  <si>
    <t>https://www.jsiad.org/wp-content/uploads/2019/12/JSIAD_3rd-Program.pdf</t>
  </si>
  <si>
    <t>https://bshiconference.org.uk/wp-content/uploads/2024/08/V12-DRAFT-BSHI-2024-Provisional-Programme_speaker-3.pdf</t>
  </si>
  <si>
    <t>https://bshi.org.uk/wp-content/uploads/2023/10/BSHI-2023-Programme-FINAL.pdf</t>
  </si>
  <si>
    <t>https://bshi.org.uk/wp-content/uploads/2022/12/BSHI-Conference-2022-Programme.pdf</t>
  </si>
  <si>
    <t>British Society for Histocompatibility &amp; Immunogenetics | European Federation of Immunogenetics</t>
  </si>
  <si>
    <t>https://az659834.vo.msecnd.net/eventsairwesteuprod/production-fitwise-public/96ac5a3843cd48889742b7f1373fabe2</t>
  </si>
  <si>
    <t>https://cdn.eventsforce.net/files/ef-divra5y5642a/website/13/bsi_congress_2023_programme_overview.pdf</t>
  </si>
  <si>
    <t>https://www.immunology.org/events/british-society-immunology-congress-2022</t>
  </si>
  <si>
    <t>https://www.immunology.org/events/bsi-congress</t>
  </si>
  <si>
    <t>https://cdn.eventsforce.net/files/ef-divra5y5642a/website/5/5615_bsi_virtual_conference_pdf_programme_final.pdf</t>
  </si>
  <si>
    <t>https://web-eur.cvent.com/event/f10e3b8a-5e7f-4e26-990b-c456da6962b4/websitePage:a63c041f-03a1-4e8f-a666-0710e9619105</t>
  </si>
  <si>
    <t>https://ashiannualmeeting.eventscribe.net/agenda.asp?BCFO=&amp;pfp=FullSchedule&amp;fa=&amp;fb=&amp;fc=&amp;fd=&amp;all=1&amp;mode=</t>
  </si>
  <si>
    <t>https://cdn.ymaws.com/www.ashi-hla.org/resource/resmgr/docs/meetings_annual/website_program_-_live.pdf</t>
  </si>
  <si>
    <t>https://cdn.ymaws.com/www.ashi-hla.org/resource/resmgr/docs/meetings_annual/printable_program_live_updat.pdf</t>
  </si>
  <si>
    <t>https://cdn.ymaws.com/www.ashi-hla.org/resource/resmgr/docs/meetings_annual/website_program_9.5.pdf</t>
  </si>
  <si>
    <t>https://cdn.ymaws.com/www.ashi-hla.org/resource/resmgr/docs/meetings_annual/vgamprogramfull.pdf</t>
  </si>
  <si>
    <t>https://www.allergy.org.au/images/conf/ASCIA2024_PROGRAM_BOOK.pdf</t>
  </si>
  <si>
    <t>https://www.allergy.org.au/images/docs/conf2023/ASCIA2023_PROGRAM_BOOK_FINAL.pdf</t>
  </si>
  <si>
    <t>https://www.allergy.org.au/images/conf/ASCIA2022_PROGRAM_BOOK.pdf</t>
  </si>
  <si>
    <t>https://www.allergy.org.au/images/conf/ASCIA2021_Virtual_Program_Book_1-3_September.pdf</t>
  </si>
  <si>
    <t>https://www.congresoseaic.org/static/upload/ow81/events/ev578/Site/files/Programa_final_SEAIC24-0309.pdf</t>
  </si>
  <si>
    <t>https://www.congresoseaic.org/static/upload/ow81/events/ev444/Site/files/PROGRAMA_SEAIC2022.pdf</t>
  </si>
  <si>
    <t>https://www.congresoseaic.org/static/upload/ow81/events/ev514/Site/files/Programa_SEAIC23-2410.pdf</t>
  </si>
  <si>
    <t>https://www.congresoseaic.org/static/upload/ow81/events/ev327/Site/files/programa_Seaic33_comOral_posteres_2510.pdf</t>
  </si>
  <si>
    <t>https://www.congresoseaic.org/static/upload/ow81/events/ev353/Site/files/programa_Seaic32Virtual_ComOral_Poster0211.pdf</t>
  </si>
  <si>
    <t>https://neumoped.org/wp-content/uploads/2023/05/Programa_reunion_SEICAP-SENP_2023.pdf</t>
  </si>
  <si>
    <t>https://seicap.es/wp-content/uploads/2022/09/LIBRO-SEICAP-2022-v.final-1.pdf</t>
  </si>
  <si>
    <t>https://seicap.es/wp-content/uploads/2022/05/Actas-premios-comunicaciones-XLV-congreso-SEICAP-2021.pdf</t>
  </si>
  <si>
    <t>https://seicap.es/wp-content/uploads/2022/04/libro-congreso-seicap-2020_97701.pdf</t>
  </si>
  <si>
    <t>https://fondation-maladiesrares.org/wp-content/uploads/2024/06/Brochure-Colloque-2024-2.pdf</t>
  </si>
  <si>
    <t>https://fondation-maladiesrares.org/wp-content/uploads/2023/06/Programme-colloque-2023-5.pdf</t>
  </si>
  <si>
    <t>https://fondation-maladiesrares.org/en/evenement/colloque-scientifique-national-2022-2/</t>
  </si>
  <si>
    <t>https://fondation-maladiesrares.org/en/evenement/colloque-scientifique-2021/</t>
  </si>
  <si>
    <t>https://fondation-maladiesrares.org/en/evenement/colloque-scientifique-2020/</t>
  </si>
  <si>
    <t>European Joint Programme on Rare Diseases | International Rare Diseases Research Consortium</t>
  </si>
  <si>
    <t>https://www.react-congress.org/2023/wp-content/uploads/React_Congress_Brochure_2023.pdf</t>
  </si>
  <si>
    <t>https://www.react-congress.org/2021/wp-content/uploads/Abstract_book_REACTxIRDIRCongress_2021.pdf</t>
  </si>
  <si>
    <t>https://irdirc.org/wp-content/uploads/2022/11/Agenda-Conference-on-Clinical-Research-Networks_Vf.pdf</t>
  </si>
  <si>
    <t>European Joint Programme on Rare Diseases | CTNNB1 Foundation</t>
  </si>
  <si>
    <t>https://ctnnb1-foundation.org/conference/</t>
  </si>
  <si>
    <t>https://ctnnb1-conference.org/index.php#anchor-program</t>
  </si>
  <si>
    <t>European Joint Programme on Rare Diseases | European Rare Disease Research Coordination and Support Action Consortium</t>
  </si>
  <si>
    <t>https://www.ejprarediseases.org/wp-content/uploads/2023/10/erica-ejp-rd-programme-2023.pdf</t>
  </si>
  <si>
    <t>https://download2.eurordis.org/ecrd/2024/ECRD_2024_Programme.pdf</t>
  </si>
  <si>
    <t>https://download2.eurordis.org/ecrd/2022/EXECUTIVE_SUMMARY_FINAL_18-11.pdf</t>
  </si>
  <si>
    <t>http://download2.eurordis.org.s3-eu-west-1.amazonaws.com/ecrd/2020/ECRD2020_full_programme.pdf</t>
  </si>
  <si>
    <t>https://kaaaci.or.kr/2024s/program/detail.php</t>
  </si>
  <si>
    <t>https://kaaaci.or.kr/2023s/program/glance.php</t>
  </si>
  <si>
    <t>https://www.kaaaci.or.kr/2022s/content/program.php</t>
  </si>
  <si>
    <t>https://www.kaaaci.or.kr/2021s/content/program.php</t>
  </si>
  <si>
    <t>https://www.kaaaci.or.kr/2020s/content/program.php</t>
  </si>
  <si>
    <t>https://kaaaci.or.kr/2023f/content/program.php</t>
  </si>
  <si>
    <t>https://kaaaci.or.kr/2022f/content/program.php</t>
  </si>
  <si>
    <t>https://kaaaci.or.kr/2021f/content/program.php</t>
  </si>
  <si>
    <t>https://kaaaci.or.kr/2020f/content/program.php</t>
  </si>
  <si>
    <t>https://drive.google.com/file/d/1hyz0CmGewb_cEu-vqagGjQDPLBvuXGhb/view</t>
  </si>
  <si>
    <t>https://slaai.blogspot.com/search/label/congreso%20slaai%202021?m=0</t>
  </si>
  <si>
    <t>World Allergy Organization | Portuguese Society of Allergy and Clinical Immunology</t>
  </si>
  <si>
    <t>https://wac.worldallergy.net/media/WAC-2024-Program-Overview.pdf</t>
  </si>
  <si>
    <t>https://www.wac2023bangkok.com/program/fullprogram</t>
  </si>
  <si>
    <t>https://aai.org.tr/uploads/pdf_446.pdf</t>
  </si>
  <si>
    <t>World Allergy Organization | Japanese Society of Allergology</t>
  </si>
  <si>
    <t>https://www.c-linkage.co.jp/jsawac2020/program.html</t>
  </si>
  <si>
    <t>https://www.immunology.org.au/ASI-2024/program/</t>
  </si>
  <si>
    <t>https://bpb-ap-se2.wpmucdn.com/blogs.auckland.ac.nz/dist/a/780/files/2023/12/website-of-Final-Programme-01-12-with-paper-titles-.pdf</t>
  </si>
  <si>
    <t>https://iuis.org/events/50th-annual-scientific-meeting-of-the-australian-and-new-zealand-society-for-immunology-asi-2022/#</t>
  </si>
  <si>
    <t>https://iuis.org/events/the-49th-annual-scientific-meeting-of-the-australian-and-new-zealand-society-for-immunology-asi-2021-2/</t>
  </si>
  <si>
    <t>https://immunology2024.aai.org/program/</t>
  </si>
  <si>
    <t>https://www.immunology2023.org/program/</t>
  </si>
  <si>
    <t>https://www.immunology2022.org/wp-content/uploads/2022/04/Imm22-Program-Book-web.pdf</t>
  </si>
  <si>
    <t>https://www.immunology2021.org/scientific-program/</t>
  </si>
  <si>
    <t>https://cis.clinimmsoc.org/education/meetings/am24/full-agenda</t>
  </si>
  <si>
    <t>https://cis.clinimmsoc.org/UserFiles/AM23/am23-finpro-v10_hires.pdf</t>
  </si>
  <si>
    <t>https://cis.clinimmsoc.org/education/meetings/am22/program/amprogram</t>
  </si>
  <si>
    <t>https://cis.clinimmsoc.org/UserFiles/file/CISAM2021Agenda4.7.2021_v1.pdf</t>
  </si>
  <si>
    <t>https://cis.clinimmsoc.org/education/meetings/am20/program/annual-meeting-agenda</t>
  </si>
  <si>
    <t>https://site.pheedloop.com/event/ASM2024/schedule</t>
  </si>
  <si>
    <t>https://www.emedevents.com/medical-hybrid-events-2023/78th-annual-canadian-society-of-allergy-and-clinical-immunology-csaci-scientific-meeting-2023</t>
  </si>
  <si>
    <t>https://www.emedevents.com/c/medical-conferences-2022/77th-annual-canadian-society-of-allergy-and-clinical-immunology-csaci-scientific-meeting</t>
  </si>
  <si>
    <t>https://www.emedevents.com/online-cme-courses/live-webinar/76th-annual-canadian-society-of-allergy-and-clinical-immunology-csaci-scientific-virtual-meeting</t>
  </si>
  <si>
    <t>https://www.emedevents.com/c/medical-conferences-2020/canadian-society-of-allergy-and-clinical-immunology-csaci-annual-scientific-meeting-2020</t>
  </si>
  <si>
    <t>Swiss Institute of Allergy and Asthma Research (SIAF)</t>
  </si>
  <si>
    <t>https://www.wirm.ch/wp-content/uploads/2024/03/1FinalProgram2024druckoAbstracts.pdf</t>
  </si>
  <si>
    <t>https://www.wirm.ch/wp-content/uploads/2023/07/FinalProgram2023oAbstractsWeblow.pdf</t>
  </si>
  <si>
    <t>https://www.wirm.ch/wp-content/uploads/2024/08/FinalProgram2022oAbstractsWeblow.pdf</t>
  </si>
  <si>
    <t>https://www.wirm.ch/wp-content/uploads/2024/08/FinalProgram2021oAbstracts_Weblow.pdf</t>
  </si>
  <si>
    <t>https://www.wirm.ch/wp-content/uploads/2024/08/FinalProgram2020oAbstracts_digitalWIRM_Weblow.pdf</t>
  </si>
  <si>
    <t>https://icord.es/wp-content/uploads/2024/07/Program-16th-Annual-ICORD-Meeting.pdf</t>
  </si>
  <si>
    <t>https://icord.es/15th-icord-conference-6th-7th-february-2023</t>
  </si>
  <si>
    <t>https://rd-research.org.uk/about-us/conference/</t>
  </si>
  <si>
    <t>https://ern-euro-nmd.eu/wp-content/uploads/2024/07/ERICA-GA2024-Programme.pdf</t>
  </si>
  <si>
    <t>https://erica-rd.eu/wp-content/uploads/2023/03/ERICA-GA2023-Programme.pdf</t>
  </si>
  <si>
    <t>https://erica-rd.eu/wp-content/uploads/2022/04/220411-ERICA-2nd-General-Assembly-Preliminary-Programme.pdf</t>
  </si>
  <si>
    <t>https://erica-rd.eu/wp-content/uploads/2021/05/ERICA-GA2021.pdf</t>
  </si>
  <si>
    <t>https://www.dgenes.es/wp-content/uploads/Normas-de-Posteres-y-Comunicaciones-2024.pdf</t>
  </si>
  <si>
    <t>Organization</t>
  </si>
  <si>
    <t>India</t>
  </si>
  <si>
    <t>https://apo.who.int/</t>
  </si>
  <si>
    <t>Gulf</t>
  </si>
  <si>
    <t>https://www.ghc.sa/en/</t>
  </si>
  <si>
    <t>https://www.iecs.org.ar/en/institutional/</t>
  </si>
  <si>
    <t>https://www.argentina.gob.ar/salud/conetec</t>
  </si>
  <si>
    <t>https://www.argentina.gob.ar/jefatura/sedronar</t>
  </si>
  <si>
    <t>http://www.msac.gov.au/</t>
  </si>
  <si>
    <t>http://www.mbsonline.gov.au/internet/mbsonline/publishing.nsf/Content/Home</t>
  </si>
  <si>
    <t>https://www.pbs.gov.au/pbs/home</t>
  </si>
  <si>
    <t>https://actbr.org.br/</t>
  </si>
  <si>
    <t>https://www.gov.br/conitec/pt-br</t>
  </si>
  <si>
    <t>https://www.cda-amc.ca/</t>
  </si>
  <si>
    <t>https://www.invima.gov.co/</t>
  </si>
  <si>
    <t>https://www.iqwig.de/</t>
  </si>
  <si>
    <t>https://www.mhlw.go.jp/stf/shingi/shingi-chuo_128153.html</t>
  </si>
  <si>
    <t>https://www.health-ni.gov.uk/articles/about-medicines-regulatory-group#toc-1</t>
  </si>
  <si>
    <t>Bangkok</t>
  </si>
  <si>
    <t>https://asean.org/</t>
  </si>
  <si>
    <t>https://www.who.int/southeastasia</t>
  </si>
  <si>
    <t>https://www.apec.org/</t>
  </si>
  <si>
    <t>https://www.ecdc.europa.eu/en</t>
  </si>
  <si>
    <t>https://gulfcdc.org/en</t>
  </si>
  <si>
    <t>Pan America</t>
  </si>
  <si>
    <t>https://www.paho.org/en</t>
  </si>
  <si>
    <t>https://www.argentina.gob.ar/salud</t>
  </si>
  <si>
    <t>https://www.argentina.gob.ar/ciencia</t>
  </si>
  <si>
    <t>https://www.argentina.gob.ar/anmat</t>
  </si>
  <si>
    <t>http://anlis.gov.ar/</t>
  </si>
  <si>
    <t>https://www.conicet.gov.ar/</t>
  </si>
  <si>
    <t>https://www.argentina.gob.ar/sssalud</t>
  </si>
  <si>
    <t>https://www.health.gov.au/</t>
  </si>
  <si>
    <t>https://www.aihw.gov.au/</t>
  </si>
  <si>
    <t>https://www.nhmrc.gov.au/</t>
  </si>
  <si>
    <t>https://www.tga.gov.au/</t>
  </si>
  <si>
    <t>https://www.gov.br/anvisa/pt-br/english</t>
  </si>
  <si>
    <t>https://www.gov.br/saude/pt-br</t>
  </si>
  <si>
    <t>https://conselho.saude.gov.br/</t>
  </si>
  <si>
    <t>http://www.funasa.gov.br/</t>
  </si>
  <si>
    <t>https://cihr-irsc.gc.ca/e/13533.html</t>
  </si>
  <si>
    <t>https://www.minsalud.gov.co/English/Paginas/inicio.aspx</t>
  </si>
  <si>
    <t>https://www.sfda.gov.sa/</t>
  </si>
  <si>
    <t>https://www.moh.gov.sa/en/Pages/Default.aspx</t>
  </si>
  <si>
    <t>https://www.kdca.go.kr/index.es?sid=a3</t>
  </si>
  <si>
    <t>https://www.mfds.go.kr/eng/index.do</t>
  </si>
  <si>
    <t>https://www.mohw.go.kr/</t>
  </si>
  <si>
    <t>https://www.saglik.gov.tr/</t>
  </si>
  <si>
    <t>https://www.titck.gov.tr/</t>
  </si>
  <si>
    <t>https://www.england.nhs.uk/commissioning/spec-services/npc-crg/blood-and-infection-group-f/specialised-immunology-and-allergy-services/</t>
  </si>
  <si>
    <t>https://www.england.nhs.uk/commissioning/spec-services/npc-crg/group-e/specialised-paediatric-allergy-immunology-and-infectious-disease/</t>
  </si>
  <si>
    <t>https://www.england.nhs.uk/commissioning/rdag/</t>
  </si>
  <si>
    <t>https://www.nhlbi.nih.gov/</t>
  </si>
  <si>
    <t>Rare Primary Immunodeficiencies</t>
  </si>
  <si>
    <t>List of Keyterms AND Synonyms (Rare Primary Immunodeficiencies)</t>
  </si>
  <si>
    <t>Adenosine Deaminase Deficiency/ ADA-SCID</t>
  </si>
  <si>
    <t>Abatacept/ Orencia</t>
  </si>
  <si>
    <t>Antibiotics</t>
  </si>
  <si>
    <t>Allogenic Stem Cell Transplantation/ allo-SCT</t>
  </si>
  <si>
    <t>Access to Treatment/ Access to Care</t>
  </si>
  <si>
    <t>Agammaglobulinemia</t>
  </si>
  <si>
    <t>Acalabrutinib/ Calquence</t>
  </si>
  <si>
    <t>Antifungal Agents/ Antifungal Drugs</t>
  </si>
  <si>
    <t>Antibiotic Prophylaxis</t>
  </si>
  <si>
    <t>Adherence to Treatment Costs</t>
  </si>
  <si>
    <t>AIRE Deficiency/ Autoimmune Regulator Deficiency/ Autoimmune Polyendocrinopathy-Candidiasis-Ectodermal Dystrophy/ APECED</t>
  </si>
  <si>
    <t>Acyclovir/ Zovirax</t>
  </si>
  <si>
    <t>Anti-Inflammatory Agents</t>
  </si>
  <si>
    <t>Antifungal Prophylaxis</t>
  </si>
  <si>
    <t>Brief Fatigue Inventory/ BFI</t>
  </si>
  <si>
    <t>Adalimumab/ Humira</t>
  </si>
  <si>
    <t>Antimetabolites</t>
  </si>
  <si>
    <t>Autologous Stem Cell Transplantation/ ASCT</t>
  </si>
  <si>
    <t>Artemis Deficiency</t>
  </si>
  <si>
    <t>Alemtuzumab/ Campath</t>
  </si>
  <si>
    <t>Antiproliferative Drugs/ Antiproliferative Agents</t>
  </si>
  <si>
    <t>Biological Therapies</t>
  </si>
  <si>
    <t>Ataxia-Telangiectasia</t>
  </si>
  <si>
    <t>Alpelisib/ BYL719</t>
  </si>
  <si>
    <t>Antiviral Drugs</t>
  </si>
  <si>
    <t>Curative Therapies</t>
  </si>
  <si>
    <t>Autoimmune Disorders/ Autoimmune Diseases</t>
  </si>
  <si>
    <t>Amoxicillin &amp; Clavulanic Acid/ Augmentin</t>
  </si>
  <si>
    <t>Bruton's Tyrosine Kinase Inhibitors/ BTK Inhibitors</t>
  </si>
  <si>
    <t>Enzyme Replacement Therapy</t>
  </si>
  <si>
    <t>Clinical Global Impression Scale/ CGI Scale</t>
  </si>
  <si>
    <t>Autoimmune Enteropathy</t>
  </si>
  <si>
    <t>Amphotericin B/ Fungizone/ Ambisome</t>
  </si>
  <si>
    <t>Calcineurin Inhibitors</t>
  </si>
  <si>
    <t>Gene Therapy</t>
  </si>
  <si>
    <t>Autoimmune Lymphoproliferative Syndrome/ ALPS</t>
  </si>
  <si>
    <t>Anakinra/ Kineret</t>
  </si>
  <si>
    <t>Corticosteroids/ Steroids</t>
  </si>
  <si>
    <t>Hematopoietic Stem Cell Transplantation/ HSCT/ Bone Marrow Transplantation/ BMT</t>
  </si>
  <si>
    <t>Autoimmunity</t>
  </si>
  <si>
    <t>Anidulafungin/ Eraxis</t>
  </si>
  <si>
    <t>CTLA4 Inhibitors/ CTLA4 Agonists/ CTLA4 Modulators</t>
  </si>
  <si>
    <t>Immunoglobulin Replacement Therapy/ Ig Replacement Therapy</t>
  </si>
  <si>
    <t>Autosomal Dominant</t>
  </si>
  <si>
    <t>Apremilast/ Otezla</t>
  </si>
  <si>
    <t>Glucocorticoids</t>
  </si>
  <si>
    <t>Intravenous Immunoglobulin Therapy/ IVIG</t>
  </si>
  <si>
    <t>Autosomal Dominant Hyper IgE Syndrome/ AD-HIES</t>
  </si>
  <si>
    <t>Avapritinib/ Ayvakit</t>
  </si>
  <si>
    <t>Immune Globulins/ Immunoglobulins/ Antibodies</t>
  </si>
  <si>
    <t>Next-Generation Sequencing/ NGS</t>
  </si>
  <si>
    <t>Cost Per QALY Gained</t>
  </si>
  <si>
    <t>Autosomal Recessive</t>
  </si>
  <si>
    <t>Azathioprine/ Imuran</t>
  </si>
  <si>
    <t>Immunomodulatory Drugs</t>
  </si>
  <si>
    <t>Subcutaneous Immunoglobulin Therapy/ SCIG</t>
  </si>
  <si>
    <t>Autosomal Recessive CGD</t>
  </si>
  <si>
    <t>Azithromycin/ Zithromax</t>
  </si>
  <si>
    <t>Immunosuppressive Drugs</t>
  </si>
  <si>
    <t>Whole Exome Sequencing/ WES</t>
  </si>
  <si>
    <t>Autosomal Recessive Hyper IgE Syndrome/ AR-HIES</t>
  </si>
  <si>
    <t>Baricitinib/ Olumiant</t>
  </si>
  <si>
    <t>Interferon-Gamma Inhibitors/ IFN-γ Inhibitors</t>
  </si>
  <si>
    <t>Cost-Minimization Analysis</t>
  </si>
  <si>
    <t>Autosomal Recessive SCID/ ARS-SCID</t>
  </si>
  <si>
    <t>Basiliximab/ Simulect</t>
  </si>
  <si>
    <t>Interleukin-1 Beta Inhibitors/ IL-1 Beta Inhibitors/ IL-1β Antagonists</t>
  </si>
  <si>
    <t>CVID QoL/ Health-Related Quality of Life in Common Variable Immunodeficiency/ CVID_QoL Questionnaire</t>
  </si>
  <si>
    <t>BAFF Receptor Deficiency/ B-Cell Activating Factor Receptor Deficiency</t>
  </si>
  <si>
    <t>Belimumab/ Benlysta</t>
  </si>
  <si>
    <t>Janus Kinase Inhibitors/ JAK Inhibitors</t>
  </si>
  <si>
    <t>Diagnostic Odyssey</t>
  </si>
  <si>
    <t>Bare Lymphocyte Syndrome</t>
  </si>
  <si>
    <t>Betamethasone</t>
  </si>
  <si>
    <t>Monoclonal Antibodies/ MABs</t>
  </si>
  <si>
    <t>B-Cell Immunodeficiency</t>
  </si>
  <si>
    <t>Budesonide</t>
  </si>
  <si>
    <t>mTOR Inhibitors/ Mammalian Target of Rapamycin Inhibitors</t>
  </si>
  <si>
    <t>Disease-Free Survival</t>
  </si>
  <si>
    <t>Cartilage-Hair Hypoplasia</t>
  </si>
  <si>
    <t>Buparlisib/ BKM120</t>
  </si>
  <si>
    <t>Phosphodiesterase 4 Inhibitors/ PDE4 Inhibitors</t>
  </si>
  <si>
    <t>CD19 Deficiency</t>
  </si>
  <si>
    <t>Canakinumab/ Ilaris</t>
  </si>
  <si>
    <t>Phosphoinositide 3-Kinase-Delta Inhibitor/ PI3Kδ Inhibitor/ PI3K Inhibitors</t>
  </si>
  <si>
    <t>CD20 Deficiency</t>
  </si>
  <si>
    <t>Caspofungin/ Cancidas</t>
  </si>
  <si>
    <t>Platelet-Derived Growth Factor Receptor Inhibitors/ PDGFR Inhibitors</t>
  </si>
  <si>
    <t>CD21 Deficiency</t>
  </si>
  <si>
    <t>Ceftriaxone/ Rocephin</t>
  </si>
  <si>
    <t>Polyclonal Antibodies/ pAbs</t>
  </si>
  <si>
    <t>CD27 Deficiency</t>
  </si>
  <si>
    <t>Cefuroxime/ Ceftin</t>
  </si>
  <si>
    <t>Protein Kinase Inhibitors</t>
  </si>
  <si>
    <t>CD40 Deficiency/ Hyper IgM Syndrome Type 3</t>
  </si>
  <si>
    <t>Cidofovir/ Vistide</t>
  </si>
  <si>
    <t>Purine Synthesis Inhibitors</t>
  </si>
  <si>
    <t>EuroQol-5D/ EQ-5D/ EuroQol-5 Dimensions</t>
  </si>
  <si>
    <t>CD40L Deficiency/ CD40 Ligand Deficiency/ X-linked Hyper IgM Syndrome</t>
  </si>
  <si>
    <t>Ciprofloxacin/ Cipro</t>
  </si>
  <si>
    <t>RAF Inhibitors</t>
  </si>
  <si>
    <t>FACIT-F/ Functional Assessment of Chronic Illness Therapy – Fatigue/ Chronic Illness Therapy Fatigue Scale</t>
  </si>
  <si>
    <t>CD45 Deficiency</t>
  </si>
  <si>
    <t>Clindamycin/ Cleocin</t>
  </si>
  <si>
    <t>TNF-Alpha Inhibitors/ TNF-Alpha Antagonist</t>
  </si>
  <si>
    <t>Fatigue Impact Scale/ FIS</t>
  </si>
  <si>
    <t>CD81 Deficiency</t>
  </si>
  <si>
    <t>Clotrimazole/ Lotrimin/ Mycelex</t>
  </si>
  <si>
    <t>Vascular Endothelial Growth Factor Receptor Inhibitors/ VEGFR Inhibitors</t>
  </si>
  <si>
    <t>Fatigue Severity Scale/ FSS</t>
  </si>
  <si>
    <t>Chronic Granulomatous Disease</t>
  </si>
  <si>
    <t>Copanlisib/ Aliqopa</t>
  </si>
  <si>
    <t>Functional Health Status</t>
  </si>
  <si>
    <t>Combined Immunodeficiency</t>
  </si>
  <si>
    <t>Cyclophosphamide</t>
  </si>
  <si>
    <t>Combined Immunodeficiency with Intestinal Atresias/ CID-IA</t>
  </si>
  <si>
    <t>Cyclosporine/ Sandimmune/ Ciclosporin/ Neoral</t>
  </si>
  <si>
    <t>Combined Immunodeficiency with Syndromic Features/ CIDSF</t>
  </si>
  <si>
    <t>Dasatinib/ Sprycel</t>
  </si>
  <si>
    <t>Common Variable Immune Deficiency/ CVID</t>
  </si>
  <si>
    <t>Deflazacort</t>
  </si>
  <si>
    <t>Complement Deficiencies</t>
  </si>
  <si>
    <t>Dexamethasone</t>
  </si>
  <si>
    <t>Congenital Immunodeficiencies/ Congenital Immune Deficiencies</t>
  </si>
  <si>
    <t>Doxycycline/ Vibramycin</t>
  </si>
  <si>
    <t>CTLA4 Deficiency/ CTLA-4 Haploinsufficiency/ Cytotoxic T-Lymphocyte-Associated Protein 4/ CD152/ Cluster of Differentiation 152</t>
  </si>
  <si>
    <t>Duvelisib/ Copiktra</t>
  </si>
  <si>
    <t>Hospital Anxiety and Depression Scale/ HADS</t>
  </si>
  <si>
    <t>Cytokine Dysregulation</t>
  </si>
  <si>
    <t>Eculizumab/ Soliris</t>
  </si>
  <si>
    <t>IgG Trough Level Monitoring</t>
  </si>
  <si>
    <t>Cytopaenias/ Autoimmune Cytopenias</t>
  </si>
  <si>
    <t>Eltrombopag/ Promacta</t>
  </si>
  <si>
    <t>Immune Deficiency and Treatment Experience Questionnaire/ IDTEQ</t>
  </si>
  <si>
    <t>DiGeorge Syndrome/ 22q11 Deletion Syndrome</t>
  </si>
  <si>
    <t>Etanercept/ Enbrel</t>
  </si>
  <si>
    <t>Immunoglobulin Replacement Therapy Satisfaction Questionnaire/ Ig-TSQ</t>
  </si>
  <si>
    <t>DOCK8 Deficiency/ DOCK8 Immunodeficiency Syndrome</t>
  </si>
  <si>
    <t>Everolimus/ Afinitor</t>
  </si>
  <si>
    <t>EBV-Associated Lymphoproliferative Disorder/ Epstein-Barr Virus-Associated Lymphoproliferative Disorder</t>
  </si>
  <si>
    <t>Famciclovir/ Famvir</t>
  </si>
  <si>
    <t>Infection Severity Score</t>
  </si>
  <si>
    <t>FOXN1 Deficiency/ Nude Severe Combined Immunodeficiency</t>
  </si>
  <si>
    <t>Fedratinib/ Inrebic</t>
  </si>
  <si>
    <t>Infection-Related Quality of Life Index for PID Patients/ IRQoL-PID</t>
  </si>
  <si>
    <t>Gain-of-Function Mutation</t>
  </si>
  <si>
    <t>Fluconazole/ Diflucan</t>
  </si>
  <si>
    <t>International Patient-Reported Outcomes and Quality of Life Index/ IPROQOL</t>
  </si>
  <si>
    <t>Gene Mutation</t>
  </si>
  <si>
    <t>Fluticasone</t>
  </si>
  <si>
    <t>Karnofsky Performance Status Scale/ KPS Scale</t>
  </si>
  <si>
    <t>Genetic Disorders</t>
  </si>
  <si>
    <t>Foscarnet/ Foscavir</t>
  </si>
  <si>
    <t>Life Expectancy</t>
  </si>
  <si>
    <t>Genetic Immunodeficiencies/ Genetic PIDs/ Hereditary Immunodeficiencies/ Genetic Immune Deficiencies/ Hereditary Immune Deficiencies</t>
  </si>
  <si>
    <t>Fostamatinib/ Tavalisse</t>
  </si>
  <si>
    <t>Long-Term Health Outcomes</t>
  </si>
  <si>
    <t>Good's Syndrome/ Thymoma with Immunodeficiency</t>
  </si>
  <si>
    <t>Ganciclovir/ Cytovene</t>
  </si>
  <si>
    <t>Hepatomegaly</t>
  </si>
  <si>
    <t>Gedatolisib/ PF-05212384</t>
  </si>
  <si>
    <t>Medical Outcomes Study Sleep Scale</t>
  </si>
  <si>
    <t>Hereditary Angioedema</t>
  </si>
  <si>
    <t>Glasdegib/ Daurismo</t>
  </si>
  <si>
    <t>Hereditary Complement Deficiency Diseases</t>
  </si>
  <si>
    <t>Hydrocortisone/ Cortef</t>
  </si>
  <si>
    <t>Multidimensional Fatigue Inventory/ MFI</t>
  </si>
  <si>
    <t>Humoral Immunodeficiency</t>
  </si>
  <si>
    <t>Hydroxychloroquine/ Plaquenil</t>
  </si>
  <si>
    <t>Hyper IgE Syndrome/ HIES/ Job's Syndrome</t>
  </si>
  <si>
    <t>Ibrutinib/ Imbruvica</t>
  </si>
  <si>
    <t>Hyper IgM Syndrome Type 4/ PIK3R1 Mutation</t>
  </si>
  <si>
    <t>Idelalisib/ Zydelig</t>
  </si>
  <si>
    <t>Paediatric Quality of Life/ PedsQL</t>
  </si>
  <si>
    <t>Hyper IgM Syndrome/ HIGM/ Hyper-IgM Immunodeficiency Syndrome</t>
  </si>
  <si>
    <t>Imatinib/ Gleevec</t>
  </si>
  <si>
    <t>Patient Global Impression of Change/ PGIC</t>
  </si>
  <si>
    <t>Hypogammaglobulinemia</t>
  </si>
  <si>
    <t>Infliximab/ Remicade</t>
  </si>
  <si>
    <t>Patient Monitoring Costs</t>
  </si>
  <si>
    <t>IgG Subclass Deficiency</t>
  </si>
  <si>
    <t>Ipatasertib/ GDC-0068</t>
  </si>
  <si>
    <t>IKAROS Deficiency/ IKZF1 Mutation</t>
  </si>
  <si>
    <t>Isavuconazole/ Cresemba</t>
  </si>
  <si>
    <t>Patient-Reported Outcomes Measurement Information System/ PROMIS</t>
  </si>
  <si>
    <t>IL-10 Signaling Deficiency</t>
  </si>
  <si>
    <t>Itraconazole/ Sporanox</t>
  </si>
  <si>
    <t>PedsQL MFS/ Pediatric Quality of Life Inventory Multidimensional Fatigue Scale</t>
  </si>
  <si>
    <t>IL-7R Alpha Chain Deficiency</t>
  </si>
  <si>
    <t>Leflunomide/ Arava</t>
  </si>
  <si>
    <t>Personalized Medicine Costs</t>
  </si>
  <si>
    <t>Immune Disorders/ Immune Diseases</t>
  </si>
  <si>
    <t>Lenalidomide/ Revlimid</t>
  </si>
  <si>
    <t>Immune Dysfunction</t>
  </si>
  <si>
    <t>Leniolisib/ Joenja</t>
  </si>
  <si>
    <t>Immune Dysregulation</t>
  </si>
  <si>
    <t>Letermovir/ Prevymis</t>
  </si>
  <si>
    <t>Immunodeficiencies/ Immune Deficiencies</t>
  </si>
  <si>
    <t>Levofloxacin/ Levaquin</t>
  </si>
  <si>
    <t>Primary Immune Deficiency Treatment Satisfaction Questionnaire/ PIDTSQ</t>
  </si>
  <si>
    <t>Immunoglobulin Deficiency</t>
  </si>
  <si>
    <t>Maribavir/ Livtencity</t>
  </si>
  <si>
    <t>Primary Immunodeficiency Disease Activity Index/ PIDA</t>
  </si>
  <si>
    <t>Immunologic Deficiency Syndromes</t>
  </si>
  <si>
    <t>Methotrexate/ Trexall</t>
  </si>
  <si>
    <t>Productivity Loss</t>
  </si>
  <si>
    <t>Inborn Errors of Immunity/ IEI</t>
  </si>
  <si>
    <t>Methylprednisolone/ Medrol</t>
  </si>
  <si>
    <t>Psychosocial Factors/ Psychosocial Determinants</t>
  </si>
  <si>
    <t>Inherited Immunodeficiencies/ Inherited Immune Deficiencies</t>
  </si>
  <si>
    <t>Micafungin/ Mycamine</t>
  </si>
  <si>
    <t>QOL-PID/ Quality of Life in Primary Immunodeficiency Disorders</t>
  </si>
  <si>
    <t>Interferonopathies</t>
  </si>
  <si>
    <t>Mycophenolate Mofetil/ CellCept</t>
  </si>
  <si>
    <t>Interstitial Lung Disease/ ILD/Granulomatous Lymphocytic Interstitial Lung Disease/ GLILD</t>
  </si>
  <si>
    <t>Nemiralisib</t>
  </si>
  <si>
    <t>Quality of Life/ QoL/ Life Quality Index/ LQI</t>
  </si>
  <si>
    <t>IPEX Syndrome/ Immune Dysregulation, Polyendocrinopathy, Enteropathy, X-linked/ FOXP3 Deficiency</t>
  </si>
  <si>
    <t>Nystatin/ Mycostatin</t>
  </si>
  <si>
    <t>JAK3 Deficiency</t>
  </si>
  <si>
    <t>Omalizumab/ Xolair</t>
  </si>
  <si>
    <t>Late Onset Combined Immunodeficiency</t>
  </si>
  <si>
    <t>Oseltamivir/ Tamiflu</t>
  </si>
  <si>
    <t>Loss-of-Function Mutation</t>
  </si>
  <si>
    <t>Parsaclisib</t>
  </si>
  <si>
    <t>LRBA Deficiency/ LPS-Responsive Beige-like Anchor Protein Deficiency/ Lipopolysaccharide-Responsive Beige-like Anchor Protein Deficiency</t>
  </si>
  <si>
    <t>Pegademase/ Pegademase Bovine/ Adagen</t>
  </si>
  <si>
    <t>Severity of Illness Index/ SOII/ Severity Scoring Systems</t>
  </si>
  <si>
    <t>Lymphadenopathy</t>
  </si>
  <si>
    <t>Posaconazole/ Noxafil</t>
  </si>
  <si>
    <t>Short Form Health Survey/ SF-36</t>
  </si>
  <si>
    <t>Lymphoproliferation/ Lymphoproliferative Diseases</t>
  </si>
  <si>
    <t>Prednisolone</t>
  </si>
  <si>
    <t>Magnesium Channel Deficiency/ XMEN Disease</t>
  </si>
  <si>
    <t>Prednisone/ Deltasone</t>
  </si>
  <si>
    <t>Specialty Drug Costs</t>
  </si>
  <si>
    <t>Mendelian Susceptibility to Mycobacterial Disease/ MSMD</t>
  </si>
  <si>
    <t>Remdesivir/ Veklury</t>
  </si>
  <si>
    <t>WHOQOL-BREF/ World Health Organization Quality of Life Instrument</t>
  </si>
  <si>
    <t>NEMO Deficiency Syndrome/ NF-κB Essential Modulator</t>
  </si>
  <si>
    <t>Ribavirin/ Virazole</t>
  </si>
  <si>
    <t>Willingness to Pay</t>
  </si>
  <si>
    <t>NFKB1/ Nuclear Factor Kappa B Subunit 1/ NF-kappa-B p105 Subunit</t>
  </si>
  <si>
    <t>Rituximab/ Rituxan</t>
  </si>
  <si>
    <t>Workforce Participation</t>
  </si>
  <si>
    <t>NK Cell Deficiency/ Natural Killer Cell Deficiency</t>
  </si>
  <si>
    <t>Ruxolitinib/ Jakafi</t>
  </si>
  <si>
    <t>Orphan Diseases</t>
  </si>
  <si>
    <t>Sirolimus/ Rapamycin</t>
  </si>
  <si>
    <t>Phagocytic Deficiencies/ Phagocytic Dysfunction</t>
  </si>
  <si>
    <t>Sorafenib/ Nexavar</t>
  </si>
  <si>
    <t>Primary Antibody Deficiencies</t>
  </si>
  <si>
    <t>Sulfamethoxazole &amp; Trimethoprim/ Bactrim/ Septra</t>
  </si>
  <si>
    <t>Primary Immune Disorders</t>
  </si>
  <si>
    <t>Sulfasalazine/ Azulfidine</t>
  </si>
  <si>
    <t>Primary Immune Dysregulation Syndromes</t>
  </si>
  <si>
    <t>Tacrolimus/ Prograf</t>
  </si>
  <si>
    <t>Primary Immune Regulatory Disorders/ PIRD</t>
  </si>
  <si>
    <t>Taselisib/ GDC-0032</t>
  </si>
  <si>
    <t>Primary Immunodeficiencies/ Primary Immune Deficiencies/ PIDs/ Primary Immunodeficiency Disorders/ Primary Immune Deficiency Diseases/ PIDDs</t>
  </si>
  <si>
    <t>PTEN Deficiency/ PTEN Loss-of-Function/ Phosphatase and Tensin Homolog</t>
  </si>
  <si>
    <t>Tobramycin</t>
  </si>
  <si>
    <t>Purine Nucleoside Phosphorylase Deficiency/ PNP Deficiency</t>
  </si>
  <si>
    <t>Tofacitinib/ Xeljanz</t>
  </si>
  <si>
    <t>RAG Deficiency/ "RAG1/RAG2 Deficiency"</t>
  </si>
  <si>
    <t>Triamcinolone</t>
  </si>
  <si>
    <t>Rare Diseases</t>
  </si>
  <si>
    <t>Umbralisib/ Ukoniq/ TGR-1202</t>
  </si>
  <si>
    <t>Rare Primary Immunodeficiencies/ Rare Primary Immune Deficiencies</t>
  </si>
  <si>
    <t>Valacyclovir/ Valtrex</t>
  </si>
  <si>
    <t>RAS-Associated Autoimmune Leukoproliferative Disease/ RALD</t>
  </si>
  <si>
    <t>Valganciclovir/ Valcyte</t>
  </si>
  <si>
    <t>SAP Deficiency/ XLP1/ SH2D1A Mutation</t>
  </si>
  <si>
    <t>Vancomycin</t>
  </si>
  <si>
    <t>Selective IgA Deficiency/ IgA Deficiency</t>
  </si>
  <si>
    <t>Voriconazole/ Vfend</t>
  </si>
  <si>
    <t>Selective IgE Deficiency</t>
  </si>
  <si>
    <t>Zanamivir/ Relenza</t>
  </si>
  <si>
    <t>Selective IgM Deficiency</t>
  </si>
  <si>
    <t>Zanubrutinib/ Brukinsa</t>
  </si>
  <si>
    <t>Severe Combined Immunodeficiency/ SCID</t>
  </si>
  <si>
    <t>SOCS1 Deficiency/ Suppressor of Cytokine Signaling 1/ SOCS1</t>
  </si>
  <si>
    <t>Specific Antibody Deficiency</t>
  </si>
  <si>
    <t>Splenomegaly</t>
  </si>
  <si>
    <t>STAT1 Deficiency/ STAT1 Gain-of-Function Mutation/ STAT1 GOF Mutation/ STAT1 GOF Deficiency</t>
  </si>
  <si>
    <t>STAT2 Deficiency/ STAT2 Mutation/ Signal Transducer and Activator of Transcription 2</t>
  </si>
  <si>
    <t>STAT3 Gain-of-Function Syndrome/ STAT3 GOF Disease/ STAT3 Gain-of-Function Mutation</t>
  </si>
  <si>
    <t>Syndromic Immunodeficiencies</t>
  </si>
  <si>
    <t>T-Cell Immunodeficiency</t>
  </si>
  <si>
    <t>TNFRSF13B Mutations/ TACI Mutations/ TACI Deficiency/ TNFRSF13B Haploinsufficiency</t>
  </si>
  <si>
    <t>Transient Hypogammaglobulinemia of Infancy</t>
  </si>
  <si>
    <t>Wiskott-Aldrich Syndrome</t>
  </si>
  <si>
    <t>XIAP Deficiency/ X-Linked Inhibitor of Apoptosis Protein Deficiency/ XLP2/ XIAP Mutation</t>
  </si>
  <si>
    <t>X-linked Agammaglobulinemia/ Bruton's Agammaglobulinemia</t>
  </si>
  <si>
    <t>X-linked CGD</t>
  </si>
  <si>
    <t>X-linked Inheritance</t>
  </si>
  <si>
    <t>X-linked Lymphoproliferative Syndrome/ XLP</t>
  </si>
  <si>
    <t>X-Linked Severe Combined Immunodeficiency/ X-SCID</t>
  </si>
  <si>
    <t>ZAP70 Deficiency</t>
  </si>
  <si>
    <t>https://www.pospid.org.rs/images/materijal/IDF%20Diagnostic%20and%20Clinical%20Care%20Guidelines%20second%20edition%20%20%20FINAL.pdf</t>
  </si>
  <si>
    <t>https://www.allergy.org.au/images/stories/pospapers/ASCIA_HP_Guidelines_SCID_2019.pdf</t>
  </si>
  <si>
    <t>Severe Combined Immunodeficiency</t>
  </si>
  <si>
    <t>American Academy of Allergy, Asthma &amp; Immunology</t>
  </si>
  <si>
    <t>https://www.aaaai.org/Aaaai/media/MediaLibrary/PDF%20Documents/Practice%20and%20Parameters/PID-Nov-2015.pdf</t>
  </si>
  <si>
    <t>https://www.ncbi.nlm.nih.gov/pmc/articles/PMC9244088/pdf/10875_2022_Article_1289.pdf</t>
  </si>
  <si>
    <t>Inborn Errors of Immunity</t>
  </si>
  <si>
    <t>Argentina Society of Pediatrics</t>
  </si>
  <si>
    <t>https://www.scielo.org.ar/scielo.php?script=sci_arttext&amp;pid=S0325-00752011000300019&amp;lng=en&amp;nrm=iso&amp;tlng=en</t>
  </si>
  <si>
    <t>https://www.scielo.org.ar/scielo.php?script=sci_arttext&amp;pid=S0325-00752010000500018&amp;lng=en&amp;nrm=iso&amp;tlng=en</t>
  </si>
  <si>
    <t>https://www.jiaci.org/summary/vol20-issue3-num584</t>
  </si>
  <si>
    <t>Primary Immunodeficiency</t>
  </si>
  <si>
    <t>Pan-American Group for Immunodeficiency and European Society for Immunodeficiencies</t>
  </si>
  <si>
    <t>https://www.sciencedirect.com/science/article/abs/pii/S152166169994799X?via%3Dihub</t>
  </si>
  <si>
    <t>Spanish Society for Infectious Diseases and Clinical Microbiology (SEIMC) | Spanish Society of Immunology (SEI) | Spanish Society for Paediatric Infectious Disease-Spanish Paediatric Association (SEIP-AEP) | Spanish Society for Clinical Immunology, Allergology | Paediatric Asthma-Spanish Paediatric Association (SEICAP-AEP)</t>
  </si>
  <si>
    <t>https://www.sciencedirect.com/science/article/abs/pii/S0213005X20302500?via%3Dihub</t>
  </si>
  <si>
    <t>Brazilian Society of Allergy and Immunology</t>
  </si>
  <si>
    <t>https://www.ncbi.nlm.nih.gov/pmc/articles/PMC5433300//</t>
  </si>
  <si>
    <t>https://www.jaci-inpractice.org/article/S2213-2198(23)00118-6/abstract</t>
  </si>
  <si>
    <t>Argentine Society of Pediatrics</t>
  </si>
  <si>
    <t>https://www.sap.org.ar/docs/publicaciones/archivosarg/2018/v116n2a42.pdf</t>
  </si>
  <si>
    <t>https://www.nice.org.uk/guidance/hst7/resources/strimvelis-for-treating-adenosine-deaminase-deficiencysevere-combined-immunodeficiency-pdf-1394905926085</t>
  </si>
  <si>
    <t>https://www.ncbi.nlm.nih.gov/pmc/articles/PMC7253377/</t>
  </si>
  <si>
    <t>https://academic.oup.com/cei/article/210/1/1/6655640</t>
  </si>
  <si>
    <t>https://www.sciencedirect.com/science/article/pii/S2213219817300351</t>
  </si>
  <si>
    <t>https://www.research4rare.de/en/</t>
  </si>
  <si>
    <t>Relevance</t>
  </si>
  <si>
    <t>https://genesandnutrition.biomedcentral.com/</t>
  </si>
  <si>
    <t>https://www.sciencedirect.com/journal/infection-genetics-and-evolution</t>
  </si>
  <si>
    <t>https://www.cell.com/ajhg/home</t>
  </si>
  <si>
    <t>https://onlinelibrary.wiley.com/journal/15524833</t>
  </si>
  <si>
    <t>https://onlinelibrary.wiley.com/journal/15524876</t>
  </si>
  <si>
    <t>https://onlinelibrary.wiley.com/journal/14691809</t>
  </si>
  <si>
    <t>https://www.annualreviews.org/content/journals/genet</t>
  </si>
  <si>
    <t>https://www.annualreviews.org/content/journals/genom</t>
  </si>
  <si>
    <t>https://atlasgeneticsoncology.org/</t>
  </si>
  <si>
    <t>https://link.springer.com/journal/10519</t>
  </si>
  <si>
    <t>https://link.springer.com/journal/10528</t>
  </si>
  <si>
    <t>https://bmcgenomdata.biomedcentral.com/</t>
  </si>
  <si>
    <t>https://bmcgenomics.biomedcentral.com/</t>
  </si>
  <si>
    <t>https://bmcmedgenomics.biomedcentral.com/</t>
  </si>
  <si>
    <t>https://academic.oup.com/bfg</t>
  </si>
  <si>
    <t>https://www.cell.com/cell-genomics/home</t>
  </si>
  <si>
    <t>https://www.ahajournals.org/journal/circgen</t>
  </si>
  <si>
    <t>https://clinicalepigeneticsjournal.biomedcentral.com/</t>
  </si>
  <si>
    <t>https://onlinelibrary.wiley.com/journal/13990004</t>
  </si>
  <si>
    <t>https://www.begellhouse.com/journals/critical-reviews-in-eukaryotic-gene-expression.html</t>
  </si>
  <si>
    <t>https://benthamscience.com/public/journals/current-gene-therapy</t>
  </si>
  <si>
    <t>https://link.springer.com/journal/294</t>
  </si>
  <si>
    <t>https://www.sciencedirect.com/journal/current-opinion-in-genetics-and-development</t>
  </si>
  <si>
    <t>https://currentprotocols.onlinelibrary.wiley.com/journal/19348258</t>
  </si>
  <si>
    <t>https://karger.com/cgr</t>
  </si>
  <si>
    <t>https://link.springer.com/journal/11956</t>
  </si>
  <si>
    <t>https://www.sciencedirect.com/journal/ecological-genetics-and-genomics</t>
  </si>
  <si>
    <t>https://www.tandfonline.com/journals/kepi20</t>
  </si>
  <si>
    <t>https://epigeneticsandchromatin.biomedcentral.com/</t>
  </si>
  <si>
    <t>https://www.maxapress.com/epi</t>
  </si>
  <si>
    <t>https://www.tandfonline.com/journals/iepi20</t>
  </si>
  <si>
    <t>https://www.nature.com/ejhg/</t>
  </si>
  <si>
    <t>https://www.sciencedirect.com/journal/european-journal-of-medical-genetics</t>
  </si>
  <si>
    <t>https://www.frontiersin.org/journals/genetics</t>
  </si>
  <si>
    <t>https://link.springer.com/journal/10142</t>
  </si>
  <si>
    <t>https://academic.oup.com/g3journal</t>
  </si>
  <si>
    <t>https://www.xiahepublishing.com/journal/ge</t>
  </si>
  <si>
    <t>https://www.sciencedirect.com/journal/gene-expression-patterns</t>
  </si>
  <si>
    <t>https://www.sciencedirect.com/journal/gene-reports</t>
  </si>
  <si>
    <t>https://www.nature.com/gt/</t>
  </si>
  <si>
    <t>https://www.mdpi.com/journal/genes</t>
  </si>
  <si>
    <t>https://www.sciencedirect.com/journal/genes-and-diseases</t>
  </si>
  <si>
    <t>https://genesdev.cshlp.org/</t>
  </si>
  <si>
    <t>https://genesenvironment.biomedcentral.com/</t>
  </si>
  <si>
    <t>https://gsj3.org/ggs/</t>
  </si>
  <si>
    <t>https://link.springer.com/journal/13258</t>
  </si>
  <si>
    <t>https://www.nature.com/gene/</t>
  </si>
  <si>
    <t>https://onlinelibrary.wiley.com/journal/13652443</t>
  </si>
  <si>
    <t>https://onlinelibrary.wiley.com/journal/1601183x</t>
  </si>
  <si>
    <t>https://onlinelibrary.wiley.com/journal/1526968X</t>
  </si>
  <si>
    <t>https://onlinelibrary.wiley.com/journal/10982272</t>
  </si>
  <si>
    <t>https://home.liebertpub.com/publications/genetic-testing-and-molecular-biomarkers/18/overview</t>
  </si>
  <si>
    <t>https://link.springer.com/journal/10709</t>
  </si>
  <si>
    <t>https://academic.oup.com/genetics</t>
  </si>
  <si>
    <t>https://www.gmb.org.br/</t>
  </si>
  <si>
    <t>https://geneticsmr.com/</t>
  </si>
  <si>
    <t>https://www.sciencedirect.com/journal/genetics-in-medicine</t>
  </si>
  <si>
    <t>https://onlinelibrary.wiley.com/journal/gr</t>
  </si>
  <si>
    <t>https://cdnsciencepub.com/journal/gen</t>
  </si>
  <si>
    <t>https://genomebiology.biomedcentral.com/</t>
  </si>
  <si>
    <t>https://genomemedicine.biomedcentral.com/</t>
  </si>
  <si>
    <t>https://genome.cshlp.org/</t>
  </si>
  <si>
    <t>https://www.sciencedirect.com/journal/genomics</t>
  </si>
  <si>
    <t>https://genomicsinform.biomedcentral.com/</t>
  </si>
  <si>
    <t>https://home.liebertpub.com/publications/human-gene-therapy/19</t>
  </si>
  <si>
    <t>https://link.springer.com/journal/439</t>
  </si>
  <si>
    <t>https://www.nature.com/hgv/</t>
  </si>
  <si>
    <t>https://humgenomics.biomedcentral.com/</t>
  </si>
  <si>
    <t>https://academic.oup.com/hmg</t>
  </si>
  <si>
    <t>https://onlinelibrary.wiley.com/journal/4140</t>
  </si>
  <si>
    <t>http://krepublishers.com/internationaljournalofhumangenetics.html</t>
  </si>
  <si>
    <t>https://link.springer.com/journal/13353</t>
  </si>
  <si>
    <t>https://onlinelibrary.wiley.com/journal/15212254</t>
  </si>
  <si>
    <t>https://link.springer.com/journal/12041</t>
  </si>
  <si>
    <t>https://www.sciencedirect.com/journal/journal-of-genetics-and-genomics</t>
  </si>
  <si>
    <t>https://www.nature.com/jhg/</t>
  </si>
  <si>
    <t>https://jmg.bmj.com/</t>
  </si>
  <si>
    <t>https://www.oaepublish.com/jtgg</t>
  </si>
  <si>
    <t>https://link.springer.com/journal/335</t>
  </si>
  <si>
    <t>https://www.degruyter.com/journal/key/medgen/html?lang=en</t>
  </si>
  <si>
    <t>https://molecularcytogenetics.biomedcentral.com/</t>
  </si>
  <si>
    <t>https://onlinelibrary.wiley.com/journal/23249269</t>
  </si>
  <si>
    <t>https://link.springer.com/journal/438</t>
  </si>
  <si>
    <t>https://www.sciencedirect.com/journal/molecular-genetics-and-metabolism</t>
  </si>
  <si>
    <t>https://www.sciencedirect.com/journal/molecular-genetics-and-metabolism-reports</t>
  </si>
  <si>
    <t>https://www.sciencedirect.com/journal/mutation-research-fundamental-and-molecular-mechanisms-of-mutagenesis</t>
  </si>
  <si>
    <t>https://www.sciencedirect.com/journal/mutation-research-genetic-toxicology-and-environmental-mutagenesis</t>
  </si>
  <si>
    <t>https://academic.oup.com/nargab</t>
  </si>
  <si>
    <t>https://www.nature.com/ng/</t>
  </si>
  <si>
    <t>https://www.nature.com/nrg/</t>
  </si>
  <si>
    <t>https://www.tandfonline.com/journals/cngs20</t>
  </si>
  <si>
    <t>https://www.nature.com/npjgenmed/</t>
  </si>
  <si>
    <t>https://www.lidsen.com/journals/genetics</t>
  </si>
  <si>
    <t>https://journals.lww.com/jpharmacogenetics/pages/default.aspx</t>
  </si>
  <si>
    <t>https://www.tandfonline.com/journals/ipgs20</t>
  </si>
  <si>
    <t>https://www.tandfonline.com/journals/dpgp20/about-this-journal#aims-and-scope</t>
  </si>
  <si>
    <t>https://www.nature.com/tpj/</t>
  </si>
  <si>
    <t>https://journals.physiology.org/physiolgenomics/about</t>
  </si>
  <si>
    <t>https://journals.plos.org/plosgenetics/</t>
  </si>
  <si>
    <t>https://www.degruyter.com/journal/key/sagmb/html?lang=en</t>
  </si>
  <si>
    <t>https://link.springer.com/journal/122</t>
  </si>
  <si>
    <t>https://www.sciencedirect.com/journal/trends-in-genetics</t>
  </si>
  <si>
    <t>https://www.cambridge.org/core/journals/twin-research-and-human-genetics</t>
  </si>
  <si>
    <t>https://www.scielo.br/j/bjg/</t>
  </si>
  <si>
    <t>https://sag.org.ar/jbag/en/bag/</t>
  </si>
  <si>
    <t>https://www.sciencedirect.com/journal/gene</t>
  </si>
  <si>
    <t>Not Applicable</t>
  </si>
  <si>
    <t>1a</t>
  </si>
  <si>
    <t>1b</t>
  </si>
  <si>
    <t>https://pubmed.ncbi.nlm.nih.gov/18026886/</t>
  </si>
  <si>
    <t>Centers for Disease Control and Prevention</t>
  </si>
  <si>
    <t>https://www.cdc.gov/mmwr/preview/mmwrhtml/rr5301a1.htm</t>
  </si>
  <si>
    <t>British Society for Immunology | United Kingdom Primary Immunodeficiency Network</t>
  </si>
  <si>
    <t>https://www.ncbi.nlm.nih.gov/pmc/articles/PMC6514370/</t>
  </si>
  <si>
    <t>Italian Primary Immunodeficiency Network (IPINet)</t>
  </si>
  <si>
    <t>https://www.jacionline.org/article/S0091-6749(20)31165-9/fulltext</t>
  </si>
  <si>
    <t>Childhood-Onset Inborn Errors of Immunity</t>
  </si>
  <si>
    <t>Spanish Allergy Society | Latin American Society of Allergy and Immunology | International Association of Asthmology | Spanish Society of Pediatric Immunology and Allergology</t>
  </si>
  <si>
    <t>https://www.elsevier.es/en-revista-allergologia-et-immunopathologia-105-linkresolver-critical-issues-needs-in-management-S0301054610002387</t>
  </si>
  <si>
    <t>https://www.ncbi.nlm.nih.gov/pmc/articles/PMC4869529/</t>
  </si>
  <si>
    <t>Latin American Society for Immunodeficiencies</t>
  </si>
  <si>
    <t>https://www.elsevier.es/en-revista-allergologia-et-immunopathologia-105-linkresolver-primary-immunodeficiency-diseases-in-latin-S030105461100022X</t>
  </si>
  <si>
    <t>Association of Scientific Medical Societies in Germany (AWMF)</t>
  </si>
  <si>
    <t>https://register.awmf.org/assets/guidelines/112-001l_S2k_Primaere_Immundefekte_PID_2017-11_abgelaufen.pdf</t>
  </si>
  <si>
    <t>https://register.awmf.org/assets/guidelines/024-012l_S2k_Neugeborenenscreening_2022-02-abgelaufen.pdf</t>
  </si>
  <si>
    <t>Inborn Errors of Metabolism | Severe Combined Immunodeficiencies</t>
  </si>
  <si>
    <t>European Society for Immunodeficiencies | European Reference Network on Rare Primary Immunodeficiency</t>
  </si>
  <si>
    <t>Immunoglobulin Replacement therapy | Primary Immunodeficiency</t>
  </si>
  <si>
    <t>British Lung Foundation | United Kingdom Primary Immunodeficiency Network (UKPIN)</t>
  </si>
  <si>
    <t>Granulomatous-Lymphocytic Interstitial Lung Disease in Common Variable Immunodeficiency Disorders</t>
  </si>
  <si>
    <t>European Society for Blood and Marrow Transplantation | European Society for Immunodeficiencies</t>
  </si>
  <si>
    <t>https://www.nature.com/articles/s41409-021-01378-8</t>
  </si>
  <si>
    <t>https://www.ncbi.nlm.nih.gov/pmc/articles/PMC4083684/</t>
  </si>
  <si>
    <t>https://ipopi.org/wp-content/uploads/2017/08/IPOPI-Principles-of-Care-Implementation-Package_web.pdf</t>
  </si>
  <si>
    <t>https://www.jacionline.org/article/S0091-6749(19)31040-1/fulltext</t>
  </si>
  <si>
    <t>https://www.jacionline.org/article/S0091-6749(12)01103-7/fulltext</t>
  </si>
  <si>
    <t>European Society for Immunodeficiencies</t>
  </si>
  <si>
    <t>https://www.jacionline.org/article/S0091-6749(18)31268-5/fulltext</t>
  </si>
  <si>
    <t>Severe Combined Immunodeficiency | Adenosine Deaminase Deficiency</t>
  </si>
  <si>
    <t>Argentine Society of Pediatrics (SAP)</t>
  </si>
  <si>
    <t>https://www.sap.org.ar/docs/publicaciones/archivosarg/2023/v121n1a23.pdf</t>
  </si>
  <si>
    <t>Royal Children's Hospital Melbourne</t>
  </si>
  <si>
    <t>https://www.rch.org.au/clinicalguide/guideline_index/Primary_immunodeficiencies/</t>
  </si>
  <si>
    <t>International Patient Organisation for Primary Immunodeficiencies | European Society for Immunodeficiencies | International Nurses Group for Immunodeficiencies | European Federation for Immunological Societies | European Commission</t>
  </si>
  <si>
    <t>https://ec.europa.eu/health/ph_projects/2005/action1/docs/action1_2005_frep_01_en.pdf</t>
  </si>
  <si>
    <t>https://register.awmf.org/assets/guidelines/189-001l_S3_Therapie-primaerer-Antikoerpermangelerkrankungen-2019-05-verlaengert.pdf</t>
  </si>
  <si>
    <t>https://academic.oup.com/cei/article/167/1/108/6422848?login=false</t>
  </si>
  <si>
    <t>British Society for Immunology | United Kingdom Primary Immunodeficiency Network (UKPIN)</t>
  </si>
  <si>
    <t>https://www.jacionline.org/article/S0091-6749(17)31191-0/fulltext</t>
  </si>
  <si>
    <t>Primary Immunodeficiency | X-linked immunodeficiency with hyper-IgM (XHIM)</t>
  </si>
  <si>
    <t>Canadian Hemophilia Society</t>
  </si>
  <si>
    <t>https://www.hemophilia.ca/files/Bruce%20Mazer%20-%20Guidelines%20for%20the%20Diagnosis%20and%20Treatment%20of%20Primary%20Immune%20Deficiency.pdf</t>
  </si>
  <si>
    <t>Canadian Blood Services | National Advisory Committee on Blood and Blood Products</t>
  </si>
  <si>
    <t>https://www.sciencedirect.com/science/article/abs/pii/S0887796309000911?via%3Dihub</t>
  </si>
  <si>
    <t>National Immunoglobulin Replacement Expert Committee | Immunodeficiency Canada</t>
  </si>
  <si>
    <t>https://lymphosign.com/doi/10.14785/lymphosign-2017-0008</t>
  </si>
  <si>
    <t>Immunoglobulin Replacement</t>
  </si>
  <si>
    <t>French National Reference Center for Primary Immunodeficiencies (CEREDIH)</t>
  </si>
  <si>
    <t>https://www.has-sante.fr/upload/docs/application/pdf/2023-04/pnds_di_web_2023.pdf</t>
  </si>
  <si>
    <t>Hereditary Immune Deficiencies</t>
  </si>
  <si>
    <t>Pontifical Javeriana University</t>
  </si>
  <si>
    <t>https://revistas.javeriana.edu.co/index.php/scientarium/article/view/4965</t>
  </si>
  <si>
    <t>https://revistaalergia.mx/ojs/index.php/ram/article/download/300/458?inline=1</t>
  </si>
  <si>
    <t>Ministry of Health, Labour and Welfare of Japan</t>
  </si>
  <si>
    <t>https://mhlw-grants.niph.go.jp/system/files/download_pdf/2022/202211045A.pdf</t>
  </si>
  <si>
    <t>Japanese Society for Transplantation and Cellular Therapy</t>
  </si>
  <si>
    <t>https://www.jstct.or.jp/uploads/files/guideline/02_08_pidj.pdf</t>
  </si>
  <si>
    <t>Primary Immunodeficiency | Hematopoietic Stem Cell Transplantation</t>
  </si>
  <si>
    <t>https://www.jstct.or.jp/uploads/files/guideline/14m_immunodeficiency.pdf</t>
  </si>
  <si>
    <t>Congenital Immunodeficiency</t>
  </si>
  <si>
    <t>https://chromodisorder.org/</t>
  </si>
  <si>
    <t>https://thegenesisfoundation.org/</t>
  </si>
  <si>
    <t>https://rarechromo.org/</t>
  </si>
  <si>
    <t>https://genepeople.org.uk/</t>
  </si>
  <si>
    <t>https://www.ewenlife.org/</t>
  </si>
  <si>
    <t>https://nirdp.org.uk/</t>
  </si>
  <si>
    <t>https://geneticalliance.org/</t>
  </si>
  <si>
    <t>https://www.jewishgeneticdiseases.org/</t>
  </si>
  <si>
    <t>Genetics Society of America</t>
  </si>
  <si>
    <t>https://genetics-gsa.org/</t>
  </si>
  <si>
    <t>American Society of Human Genetics</t>
  </si>
  <si>
    <t>https://www.ashg.org/</t>
  </si>
  <si>
    <t>https://www.clingensoc.org/</t>
  </si>
  <si>
    <t>American Society of Gene &amp; Cell Therapy</t>
  </si>
  <si>
    <t>https://www.asgct.org/</t>
  </si>
  <si>
    <t>British Society for Genetic Medicine</t>
  </si>
  <si>
    <t>https://bsgm.org.uk/</t>
  </si>
  <si>
    <t>Genetics Society</t>
  </si>
  <si>
    <t>https://genetics.org.uk/</t>
  </si>
  <si>
    <t>European Society of Human Genetics</t>
  </si>
  <si>
    <t>Austria</t>
  </si>
  <si>
    <t>https://www.eshg.org/</t>
  </si>
  <si>
    <t>Turkish Society of Medical Genetics</t>
  </si>
  <si>
    <t>https://www.tibbigenetik.org.tr/</t>
  </si>
  <si>
    <t>Spanish Association of Human Genetics (AEGH)</t>
  </si>
  <si>
    <t>https://aegh.org/</t>
  </si>
  <si>
    <t>Spanish Society of Genetic Counseling (SEAGen)</t>
  </si>
  <si>
    <t>https://seagen.org/</t>
  </si>
  <si>
    <t>Spanish Society of Clinical Genetics and Dysmorphology (SEGCD)</t>
  </si>
  <si>
    <t>https://segcd.org/</t>
  </si>
  <si>
    <t>Spanish Society of Genetics (SEG)</t>
  </si>
  <si>
    <t>https://segenetica.es/</t>
  </si>
  <si>
    <t>Korean Society for Genetic Diagnostics</t>
  </si>
  <si>
    <t>https://www.ksgd.org/</t>
  </si>
  <si>
    <t>Korean Society of Genetics</t>
  </si>
  <si>
    <t>https://kgenetics.or.kr/</t>
  </si>
  <si>
    <t>Japan Society of Human Genetics</t>
  </si>
  <si>
    <t>https://jshg.jp/</t>
  </si>
  <si>
    <t>Japanese Society for Genetic Counseling</t>
  </si>
  <si>
    <t>https://www.jsgc.jp/</t>
  </si>
  <si>
    <t>http://www.gene-dt.jp/</t>
  </si>
  <si>
    <t>Genetics Society of Japan</t>
  </si>
  <si>
    <t>https://gsj3.org/</t>
  </si>
  <si>
    <t>Japan Society of Gene and Cell Therapy</t>
  </si>
  <si>
    <t>https://www.jsgct.jp/</t>
  </si>
  <si>
    <t>French Society of Genetics (SFG)</t>
  </si>
  <si>
    <t>https://www.sfgenetique.org/</t>
  </si>
  <si>
    <t>Colombian Association of Human Genetics</t>
  </si>
  <si>
    <t>https://acgh.com.co/</t>
  </si>
  <si>
    <t>https://genomecanada.ca/</t>
  </si>
  <si>
    <t>https://www.cagc-accg.ca/</t>
  </si>
  <si>
    <t>Canadian College of Medical Geneticists</t>
  </si>
  <si>
    <t>https://www.ccmg-ccgm.org/</t>
  </si>
  <si>
    <t>American College of Medical Genetics</t>
  </si>
  <si>
    <t>https://www.acmg.net/</t>
  </si>
  <si>
    <t>National Society of Genetic Counselors</t>
  </si>
  <si>
    <t>https://www.nsgc.org/</t>
  </si>
  <si>
    <t>https://www.geneticsandsociety.org/</t>
  </si>
  <si>
    <t>British Society for Gene and Cell Therapy</t>
  </si>
  <si>
    <t>https://www.bsgct.org/</t>
  </si>
  <si>
    <t>German Society of Human Genetics</t>
  </si>
  <si>
    <t>https://gfhev.de/</t>
  </si>
  <si>
    <t>Italian Society of Human Genetics (SIGU)</t>
  </si>
  <si>
    <t>https://sigu.net/</t>
  </si>
  <si>
    <t>Saudi Society of Medical Genetics</t>
  </si>
  <si>
    <t>https://ssmg.org.sa/en</t>
  </si>
  <si>
    <t>Argentine Genetics Society (SAG)</t>
  </si>
  <si>
    <t>https://sag.org.ar/sitio/</t>
  </si>
  <si>
    <t>Brazilian Society of Medical Genetics and Genomics</t>
  </si>
  <si>
    <t>https://www.sbgm.org.br/</t>
  </si>
  <si>
    <t>Brazilian Society of Nursing in Genetics and Genomics</t>
  </si>
  <si>
    <t>http://sbegg.org/</t>
  </si>
  <si>
    <t>International Society of Nurses in Genetics</t>
  </si>
  <si>
    <t>https://www.isong.org/</t>
  </si>
  <si>
    <t>Mexico</t>
  </si>
  <si>
    <t>https://www.alagenet.org/</t>
  </si>
  <si>
    <t>https://www.icgeb.org/</t>
  </si>
  <si>
    <t>Australian Genomics</t>
  </si>
  <si>
    <t>https://www.australiangenomics.org.au/</t>
  </si>
  <si>
    <t>Human Genetics Society of Australasia</t>
  </si>
  <si>
    <t>https://www.hgsa.org.au/Web/Default.aspx</t>
  </si>
  <si>
    <t>Genetics Society of AustralAsia</t>
  </si>
  <si>
    <t>https://genetics.org.au/</t>
  </si>
  <si>
    <t>https://www.aacg.org.au/</t>
  </si>
  <si>
    <t>https://www.asgc.org.au/</t>
  </si>
  <si>
    <t>Australasian Gene and Cell Therapy Society</t>
  </si>
  <si>
    <t>https://agcts.org.au/presidents-message/</t>
  </si>
  <si>
    <t>Human Genome Organization</t>
  </si>
  <si>
    <t>https://www.hugo-international.org/</t>
  </si>
  <si>
    <t>Brazilian Society of Genetics</t>
  </si>
  <si>
    <t>https://www.sbg.org.br/</t>
  </si>
  <si>
    <t>https://www.apshg.info/</t>
  </si>
  <si>
    <t>https://psgca.org/</t>
  </si>
  <si>
    <t>International Federation of Human Genetics Societies</t>
  </si>
  <si>
    <t>http://www.ifhgs.org/</t>
  </si>
  <si>
    <t>East Asia</t>
  </si>
  <si>
    <t>https://www.eauhgs.jp/</t>
  </si>
  <si>
    <t>European Cytogeneticists Association</t>
  </si>
  <si>
    <t>https://www.e-c-a.eu/en/</t>
  </si>
  <si>
    <t>Human Genome Variation Society</t>
  </si>
  <si>
    <t>https://www.hgvs.org/</t>
  </si>
  <si>
    <t>Global Alliance for Genomics and Health</t>
  </si>
  <si>
    <t>https://www.ga4gh.org/</t>
  </si>
  <si>
    <t>Korean Society of Medical Genetics and Genomics</t>
  </si>
  <si>
    <t>http://www.ksmg.or.kr/html/</t>
  </si>
  <si>
    <t>https://af-cg.fr/</t>
  </si>
  <si>
    <t>https://ffgh.net/</t>
  </si>
  <si>
    <t>https://sites.google.com/view/sfgh2019</t>
  </si>
  <si>
    <t>http://www.latingen.org/</t>
  </si>
  <si>
    <t>Association of Genetic Technologists</t>
  </si>
  <si>
    <t>https://agt-info.org/</t>
  </si>
  <si>
    <t>https://rarediseases.info.nih.gov/</t>
  </si>
  <si>
    <t>https://www.niaid.nih.gov/</t>
  </si>
  <si>
    <t>https://www.hira.or.kr/main.do</t>
  </si>
  <si>
    <t>https://genetics-gsa.org/tagc-2024/download-program-and-abstract-books/</t>
  </si>
  <si>
    <t>https://genetics-gsa.org/tagc/wp-content/uploads/sites/28/2021/06/200413-TAGC20-Program-Book-v1.pdf</t>
  </si>
  <si>
    <t>https://genetics-gsa.org/peqg-2022/wp-content/uploads/sites/37/2022/05/220518-PEQG22-Program-Book-v1.pdf</t>
  </si>
  <si>
    <t>https://genetics-gsa.org/celegans2023/program-and-abstract-books/</t>
  </si>
  <si>
    <t>https://genetics-gsa.org/celegans-2021/wp-content/uploads/sites/33/2021/06/210614-Worm21-Program-Book-v1.pdf</t>
  </si>
  <si>
    <t>https://genetics-gsa.org/yeast-2022/wp-content/uploads/sites/38/2022/08/Yeast22-Program-Book.pdf</t>
  </si>
  <si>
    <t>https://genetics-gsa.org/parasitology-2020/wp-content/uploads/sites/31/2020/09/MPM-2020-Program-Book-Final-1.pdf</t>
  </si>
  <si>
    <t>https://eppro02.ativ.me/src/EventPilot/php/express/web/planner.php?id=ASHG24</t>
  </si>
  <si>
    <t>https://www.ashg.org/meetings/2023meeting/agenda/ashg-2023-scientific-program/</t>
  </si>
  <si>
    <t>https://www.ashg.org/wp-content/uploads/2022/09/ASHG2022-PAAG.pdf</t>
  </si>
  <si>
    <t>https://www.ashg.org/meetings/2021meeting/attendees/schedule/</t>
  </si>
  <si>
    <t>https://www.abstractsonline.com/pp8/#!/9070</t>
  </si>
  <si>
    <t>The Clinical Genetics Society</t>
  </si>
  <si>
    <t>https://www.emedevents.com/c/medical-conferences-2024/9th-joint-uk-dutch-clinical-genetics-societies-cgs-and-cancer-genetics-groups-cgg-meeting</t>
  </si>
  <si>
    <t>https://www.clingensoc.org/events/joint-dutchuk-clinical-genetics-societies-and-cancer-genetics-group-meeting/</t>
  </si>
  <si>
    <t>https://www.clingensoc.org/events/7th-joint-dutchuk-clinical-genetics-societies-and-cancer-genetics-groups-conference-february-10-11-2020/</t>
  </si>
  <si>
    <t>https://annualmeeting.asgct.org/program/session-paths/gene-editing</t>
  </si>
  <si>
    <t>https://annualmeeting.asgct.org/global/am23/asgct23_full_program_pdf.aspx?_ga=2.186618410.2070095320.1726487190-1055338226.1726487190&amp;_gl=1*1xierbw*_ga*MTA1NTMzODIyNi4xNzI2NDg3MTkw*_ga_Q37QKR6TCJ*MTcyNjQ4NzE4OS4xLjEuMTcyNjQ4ODMwNi4wLjAuMA..</t>
  </si>
  <si>
    <t>https://annualmeeting.asgct.org/global/am22/asgct_am22_program_guide.aspx?_ga=2.18340282.2070095320.1726487190-1055338226.1726487190&amp;_gl=1*o2uylu*_ga*MTA1NTMzODIyNi4xNzI2NDg3MTkw*_ga_Q37QKR6TCJ*MTcyNjQ4NzE4OS4xLjEuMTcyNjQ4ODMwNi4wLjAuMA..</t>
  </si>
  <si>
    <t>https://public.rsb.org.uk/BSGM%20Conference%202024%20Preliminary%20Programme%20-%2011-09-2024.pdf</t>
  </si>
  <si>
    <t>https://bsgm.org.uk/events/bsgm-annual-meeting-uk-clinical-genomics-2022/</t>
  </si>
  <si>
    <t>https://bsgm.org.uk/media/11767/bsgm-acgs-uk-clinical-genomics-2021-programme.pdf</t>
  </si>
  <si>
    <t>https://public.rsb.org.uk/Draft%20Programme%20-%20GenSoc%20Nov%202024.pdf</t>
  </si>
  <si>
    <t>https://genetics.org.uk/wp-content/uploads/2018/06/Genetics_of_Future_Food_Production_programme_v1.pdf</t>
  </si>
  <si>
    <t>https://genetics.org.uk/wp-content/uploads/2018/06/Genetics-Society-Spring-Meeting-2022-programme_web-version.pdf</t>
  </si>
  <si>
    <t>Genetics Society | British Society for Developmental Biology</t>
  </si>
  <si>
    <t>https://genetics.org.uk/events/bsdb-genetics-society-annual-spring-meeting/</t>
  </si>
  <si>
    <t>https://genetics.org.uk/events/genetics-society-2020-award-lectures/</t>
  </si>
  <si>
    <t>https://apps.m-anage.com/eshg2024/en-GB/pag</t>
  </si>
  <si>
    <t>https://eshg2018.floq.live/event/eshg2023/dailyprogramme</t>
  </si>
  <si>
    <t>https://2022.eshg.org/programme-at-a-glance/monday/</t>
  </si>
  <si>
    <t>https://2021.eshg.org/programme/</t>
  </si>
  <si>
    <t>https://www.thermofisher.com/in/en/home/products-and-services/promotions/eshg20.html</t>
  </si>
  <si>
    <t>https://tibbigenetik2024.com/program</t>
  </si>
  <si>
    <t>https://yonetim.citius.technology/files/kurum/kurum75/menu/tibbi-genetik-2022-bildiri-kitabi-2.pdf</t>
  </si>
  <si>
    <t>https://yonetim.citius.technology//menu/menu672/genetik2020-kongre-kitabi.pdf</t>
  </si>
  <si>
    <t>https://yonetim.citius.technology/files/kurum/kurum75/menu/hog2023-bildiri-kitabi310523.pdf</t>
  </si>
  <si>
    <t>https://yonetim.citius.technology//menu/menu672/hog2021-kitap.pdf</t>
  </si>
  <si>
    <t>https://www.geneticahumana.org/documentos/genetica%20programa%20vertical%2023.pdf</t>
  </si>
  <si>
    <t>https://www.geneticahumana.org/2021/documentos/IIIGENETICA2021.pdf</t>
  </si>
  <si>
    <t>https://www.geyseco.es/genetica24/index.php?go=programa</t>
  </si>
  <si>
    <t>https://www.geyseco.es/genetica22/index.php?go=programa</t>
  </si>
  <si>
    <t>https://www.geyseco.es/genetica20/index.php?go=programa</t>
  </si>
  <si>
    <t>https://seagen.org/vi-jornada-espanola-de-asesoramiento-genetico/</t>
  </si>
  <si>
    <t>https://seagen.org/wp-content/uploads/2024/07/Jornada-Cancer-Hereditari-programa-01072024.pdf</t>
  </si>
  <si>
    <t>https://segcd.org/publicaciones/3896-2/</t>
  </si>
  <si>
    <t>https://segcd.org/publicaciones/iv-jornada-de-dismorfologia/</t>
  </si>
  <si>
    <t>https://segcd.org/wp-content/uploads/2017/02/jornadasegcd2021.pdf</t>
  </si>
  <si>
    <t>https://segcd.org/wp-content/uploads/2017/02/JornadaSEGCD23.09.2020.pdf</t>
  </si>
  <si>
    <t>https://seg2023.segenetica.es/pdf/programa-largo-seg2023.pdf</t>
  </si>
  <si>
    <t>https://www.seg2021.es/programa/</t>
  </si>
  <si>
    <t>https://icgsk2024.kgenetics.or.kr/program_day01.asp</t>
  </si>
  <si>
    <t>http://icgsk2023.kgenetics.or.kr/program_day01.asp</t>
  </si>
  <si>
    <t>http://icgsk2022.kgenetics.or.kr/program_day01.asp</t>
  </si>
  <si>
    <t>http://icgsk2021.kgenetics.or.kr/program_day01.asp</t>
  </si>
  <si>
    <t>https://www.ibric.org/bric/bioschedule/bio-schedule-event.do?mode=view&amp;articleNo=9529817&amp;title=%5B2020+ICGSK-APCC7%5D+International+Conference+of+the+Genetics+Society+of+Korea+2020+%26+Asia-Pacific+Chromosome+Colloquium+7</t>
  </si>
  <si>
    <t>https://www.congre.co.jp/jshg2024/program/index.html</t>
  </si>
  <si>
    <t>https://www.congre.co.jp/hga2023/files/program/program_jp.pdf</t>
  </si>
  <si>
    <t>https://www.congre.co.jp/jshg2022/program.html</t>
  </si>
  <si>
    <t>Japan Society of Human Genetics | Japan Society of Genetic Medicine</t>
  </si>
  <si>
    <t>https://drew.jp/TEST/jshg-jsgdt2021/en/program.html</t>
  </si>
  <si>
    <t>https://www.micenavi.jp/jshg2020/search/result_list</t>
  </si>
  <si>
    <t>https://cbgm2024.com.br/programa.asp</t>
  </si>
  <si>
    <t>Brazilian Society of Medical Genetics and Genomics | Brazilian Society of Neonatal Screening |</t>
  </si>
  <si>
    <t>https://www.sbgm.org.br/Uploads/xk93Mzjkg1_28_08_2023-09_17_52_69.pdf</t>
  </si>
  <si>
    <t>https://www.sbgm.org.br/Uploads/ChDFhvs6iv_19_10_2022-16_27_39_79.pdf</t>
  </si>
  <si>
    <t>https://www.sbgm.org.br/Uploads/M5T3KBFmI2_05_07_2021-15_21_49_26.pdf</t>
  </si>
  <si>
    <t>https://www.bsgct.org/_files/ugd/0f1a36_364bd3686d4b464487e1f070cc1ff401.pdf</t>
  </si>
  <si>
    <t>https://d6a27bf6-9c2f-4d3f-8359-1cb2d86b3d4d.usrfiles.com/ugd/d6a27b_1712fb4f7c4147b7a1993ed2456dd769.pdf</t>
  </si>
  <si>
    <t>British Society for Gene and Cell Therapy | European Society Of Gene &amp; Cell Therapy</t>
  </si>
  <si>
    <t>https://d6a27bf6-9c2f-4d3f-8359-1cb2d86b3d4d.usrfiles.com/ugd/d6a27b_5a477eaf795e4b5ebab05611f57dbf97.pdf</t>
  </si>
  <si>
    <t>https://bvent.biomedia.net/gestionale/documenti/evento/3800/programma.pdf</t>
  </si>
  <si>
    <t>https://sigu.congressonazionale.com/wp-content/uploads/2023/10/Programma_SIGU2023.pdf</t>
  </si>
  <si>
    <t>https://bvent.biomedia.net/gestionale/documenti/evento/3275/programma.pdf</t>
  </si>
  <si>
    <t>https://bvent.biomedia.net/gestionale/documenti/evento/3005/programma.pdf</t>
  </si>
  <si>
    <t>https://bvent.biomedia.net/gestionale/documenti/evento/2858/programma.pdf</t>
  </si>
  <si>
    <t>Argentine Genetics Society (SAG) | Latin American Genetics Society (ALAG)</t>
  </si>
  <si>
    <t>https://alagenet.org/alag2024/programa-por-dia/</t>
  </si>
  <si>
    <t>https://sag.org.ar/congreso2023/index.php/programa-cientifico/</t>
  </si>
  <si>
    <t>https://sag.org.ar/sitio/l-congreso-argentino-de-genetica-y-ii-jornadas-regionales-sag-nea/</t>
  </si>
  <si>
    <t>https://alagenet.org/alag2021/en/scientific-program/</t>
  </si>
  <si>
    <t>https://sag.org.ar/sitio/wp-content/uploads/2020/09/CongresoSAG2020_Programa160920.pdf</t>
  </si>
  <si>
    <t>https://gfh-tagung.gfhev.de/en/home.html</t>
  </si>
  <si>
    <t>https://www.kongress.de/veranstaltung/33_jahrestagung_der_deutschen_gesellschaft_fuer_humangenetik-62306045</t>
  </si>
  <si>
    <t>https://www.kongress.de/veranstaltung/32_jahrestagung_der_deutschen_gesellschaft_fuer_humangenetik-31207310</t>
  </si>
  <si>
    <t>https://ssmg.org.sa/wp-content/uploads/2024/01/%D8%AC%D8%AF%D9%88%D9%84-%D9%85%D9%88%D9%94%D8%AA%D9%85%D8%B1-%D8%A7%D9%84%D8%AC%D9%85%D8%B9%D9%8A%D8%A9-%D8%A7%D9%84%D8%B3%D8%B9%D9%88%D8%AF%D9%8A%D8%A9-%D9%84%D9%84%D8%B7%D8%A8-%D8%A7%D9%84%D9%88%D8%B1%D8%A7%D8%AB%D9%8A-%D8%A8%D8%AC%D8%A7%D8%B2%D8%A7%D9%86.pdf</t>
  </si>
  <si>
    <t>American Society of Gene + Cell Therapy</t>
  </si>
  <si>
    <t>https://www.asgct.org/CMSPages/GetFile.aspx?nodeguid=26babc1a-fc13-411d-860a-170d3e0225ae&amp;lang=en-US&amp;_ga=</t>
  </si>
  <si>
    <t>https://www.asgct.org/global/am20files/asgct2020fullprogramfinal.aspx?_ga=</t>
  </si>
  <si>
    <t>https://sbegg.org/viii-cbegg/</t>
  </si>
  <si>
    <t>https://sbegg.org/vem-ai-estamos-chegando-perto-do-vii-cbegg/</t>
  </si>
  <si>
    <t>https://www.isong.org/2023-WC-Agenda</t>
  </si>
  <si>
    <t>https://static.emedevents.com/uploads/conferences/session_brochure/cb33d387fd1398bbbaa9c4df751a0dba.pdf</t>
  </si>
  <si>
    <t>https://www.isong.org/event-4191684</t>
  </si>
  <si>
    <t>http://events.hgvs.org/program.html</t>
  </si>
  <si>
    <t>https://safmls.org/jam</t>
  </si>
  <si>
    <t>https://www.ksgd.org/conference/61/index.php?hCode=PROGRAM_03_01</t>
  </si>
  <si>
    <t>https://www.ksgd.org/conference/59/index.php?hCode=PROGRAM_03_01</t>
  </si>
  <si>
    <t>https://www.ksgd.org/conference/55/index.php?hCode=PROGRAM_03_01</t>
  </si>
  <si>
    <t>https://www.ksgd.org/conference/53/index.php?hCode=PROGRAM_03_01</t>
  </si>
  <si>
    <t>https://www.ksgd.org/conference/49/</t>
  </si>
  <si>
    <t>https://www.macc.jp/temp/jsgc48_program_hp.pdf</t>
  </si>
  <si>
    <t>https://macc.jp/temp/47program.pdf</t>
  </si>
  <si>
    <t>https://square.umin.ac.jp/jsgc46/pdf/program.pdf</t>
  </si>
  <si>
    <t>https://gakujutsushukai.jp/jsgc2021/terms</t>
  </si>
  <si>
    <t>https://www.okinawa-congre.co.jp/jsgc2020/files/program.pdf</t>
  </si>
  <si>
    <t>https://gsj96kochi.com/#Welcome</t>
  </si>
  <si>
    <t>https://gsj95.secand.net/program.html</t>
  </si>
  <si>
    <t>https://api.ibio.jp/gsj94p/talks.php</t>
  </si>
  <si>
    <t>http://gsj.kuma-u.jp/program/index.html</t>
  </si>
  <si>
    <t>https://square.umin.ac.jp/jsgct2024/doc/program-jsgct2024.pdf?2407261521</t>
  </si>
  <si>
    <t>https://www.c-linkage.co.jp/jsgct2023/program.html</t>
  </si>
  <si>
    <t>https://www.c-linkage.co.jp/jsgct2022/program.html</t>
  </si>
  <si>
    <t>https://www.jsgct.jp/conference/72/</t>
  </si>
  <si>
    <t>https://www.c-linkage.co.jp/jsgct2020/program.html</t>
  </si>
  <si>
    <t>https://az659834.vo.msecnd.net/eventsairaueprod/production-waldronsmith-public/3edc702495bd4fc1bd5d06fc83b2acb9</t>
  </si>
  <si>
    <t>https://www.centogene.com/news-events/conferences-events/eventdetail-page/acgh-congreso-medellin</t>
  </si>
  <si>
    <t>https://acgh.com.co/congreso-2021/programa-cientifico</t>
  </si>
  <si>
    <t>https://www.nsgc.org/Education-and-Events/Past-and-Future-Annual-Conferences</t>
  </si>
  <si>
    <t>https://www.nsgc.org/Portals/0/Recruitment%20Resources/NSGC_23_AC_VirtualAttendeeGuide_Final.pdf</t>
  </si>
  <si>
    <t>https://www.nsgc.org/Portals/0/Docs/AnnualConference/2022/NSGC_994867-22_AC_AttendeeGuide_V4_96PPI.pdf</t>
  </si>
  <si>
    <t>https://www.nsgc.org/Portals/0/NSGC%2040th%20Annual%20Conference%20Program%20Book.pdf</t>
  </si>
  <si>
    <t>https://www.nsgc.org/Portals/0/Docs/AnnualConference/2020/NSGC%202020%20Virtual%20Annual%20Conference%20Final%20Program.pdf</t>
  </si>
  <si>
    <t>https://www.acmgeducation.net/Public/Catalog/Details.aspx?id=o%2bY2f4yL8iktguLfTznYBg%3d%3d&amp;returnurl=%2fUsers%2fUserOnlineCourse.aspx%3fLearningActivityID%3do%252bY2f4yL8iktguLfTznYBg%253d%253d</t>
  </si>
  <si>
    <t>https://www.ccmg-ccgm.org/wp-content/uploads/2024/06/2024-CCMG-CCGM-Annual-Scientific-Meeting-Program-1.pdf</t>
  </si>
  <si>
    <t>https://ccmgcscc.com/full-program/</t>
  </si>
  <si>
    <t>https://www.ccmg-ccgm.org/event/ccmg-46th-annual-scientific-meeting/</t>
  </si>
  <si>
    <t>https://www.emedevents.com/online-cme-courses/live-webinar/canadian-college-of-medical-geneticists-ccmg-45th-annual-scientific-meeting</t>
  </si>
  <si>
    <t>http://www.ksmg.or.kr/html/?pmode=acingview&amp;smode=view&amp;MMC_pid=17&amp;seq=114</t>
  </si>
  <si>
    <t>http://www.ksmg.or.kr/html/?pmode=acprevview&amp;smode=viewProgram&amp;MMC_pid=16&amp;seq=108</t>
  </si>
  <si>
    <t>http://www.ksmg.or.kr/html/?pmode=acprevview&amp;smode=viewProgram&amp;MMC_pid=16&amp;seq=102</t>
  </si>
  <si>
    <t>http://www.ksmg.or.kr/html/?pmode=acprevview&amp;smode=viewProgram&amp;MMC_pid=16&amp;seq=97</t>
  </si>
  <si>
    <t>http://www.ksmg.or.kr/html/?pmode=acprevview&amp;smode=viewProgram&amp;MMC_pid=16&amp;seq=91</t>
  </si>
  <si>
    <t>https://broadinstitute.swoogo.com/ga4gh-connect-2024/agenda</t>
  </si>
  <si>
    <t>https://broadinstitute.swoogo.com/ga4ghaprilconnect23/agenda</t>
  </si>
  <si>
    <t>https://www.ga4gh.org/event/april-connect-2022/</t>
  </si>
  <si>
    <t>https://ptgc.pl/wp-content/uploads/2023/06/Program.pdf</t>
  </si>
  <si>
    <t>https://aegh.org/wp-content/uploads/2021/03/ECA-2021-Flyer.pdf</t>
  </si>
  <si>
    <t>https://www.australiangenomics.org.au/australian-functional-genomics-network-symposium-2024/</t>
  </si>
  <si>
    <t>https://aacb.eventsair.com/hgsa-47th-annual-scientific-meeting/scientific-program</t>
  </si>
  <si>
    <t>https://aacb.eventsair.com/hgsa-45th-annual-scientific-meeting/scientific-program</t>
  </si>
  <si>
    <t>https://aacb.eventsair.com/hgsa-44th-annual-scientific-meeting/scientific-program</t>
  </si>
  <si>
    <t>https://static1.squarespace.com/static/654dd5b95d4dec24aa5984df/t/66809777c27dd900025d9df2/1719703424540/GSA+-Program+.pdf</t>
  </si>
  <si>
    <t>https://genetics.org.au/2021/09/05/gsa-2021-conference-update/</t>
  </si>
  <si>
    <t>https://conference.agcts.org.au/program/</t>
  </si>
  <si>
    <t>Australasian Society for Stem Cell Research and Australasian Gene and Cell Therapy Society</t>
  </si>
  <si>
    <t>https://icmsmeetings.eventsair.com/asscragcts-2022/agenda</t>
  </si>
  <si>
    <t>https://events.eventact.com/upsrl/35717/WebSitePage/uploads/HGM_2024_Full_programme_A4-0804_compressed.pdf?webid=7438875120</t>
  </si>
  <si>
    <t>https://www.emedevents.com/c/medical-conferences-2023/human-genome-meeting-hgm-2023</t>
  </si>
  <si>
    <t>ORTRA Ltd.</t>
  </si>
  <si>
    <t>https://www.emedevents.com/c/medical-conferences-2022/the-25th-human-genome-meeting-hgm</t>
  </si>
  <si>
    <t>https://onlinelibrary.wiley.com/doi/full/10.1002/ajmg.a.62512</t>
  </si>
  <si>
    <t>https://sbg.org.br/eventos/genetica2024/programacao</t>
  </si>
  <si>
    <t>https://sbg.org.br/eventos/genetica2023/files/programafinal01.pdf</t>
  </si>
  <si>
    <t>https://www.sbg.org.br/admin/files/book/book_Ye2lDG6GZfx1.pdf</t>
  </si>
  <si>
    <t>https://drive.google.com/file/d/1vLsWDD5MXx2cPoY7XE8PdxooooF-MA4g/view</t>
  </si>
  <si>
    <t>https://www.ichg2023.com/wp-content/uploads/2023/02/ICHG-2023-Programme-15112022-MR-Edits.pdf</t>
  </si>
  <si>
    <t>Japan Society of Human Genetics | East Asian Union of Human Genetics Societies (EAUHGS) | Asia Pacific Society of Human Genetics (APSHG)</t>
  </si>
  <si>
    <t>https://www.isong.org/event-5702722</t>
  </si>
  <si>
    <t>https://www.isong.org/event-3690302</t>
  </si>
  <si>
    <t>https://www.nig.ac.jp/nig/2022/02/information/ha20220210.html</t>
  </si>
  <si>
    <t>https://beta.sfda.gov.sa/en/national-pharmacovigilance-center</t>
  </si>
  <si>
    <t>APDS/ Activated Phosphoinositide 3-Kinase Delta Syndrome/ Activated PI3K-δ Syndrome/ PIK3CD Mutation/ Activated p110 Syndrome/ PASLI Disease</t>
  </si>
  <si>
    <t>American Society of Hematology | National Institutes of Health</t>
  </si>
  <si>
    <t>https://www.ncbi.nlm.nih.gov/pmc/articles/PMC2953894/</t>
  </si>
  <si>
    <t>American College of Physicians | American Society of Internal Medicine</t>
  </si>
  <si>
    <t>https://www.acpjournals.org/doi/full/10.7326/0003-4819-130-7-199904060-00020</t>
  </si>
  <si>
    <t>Current Knowledge and Priorities for Future Research in Late Effects after Hematopoietic Stem Cell Transplantation (HCT) for Severe Combined Immunodeficiency Patients: A Consensus Statement from the Second Pediatric Blood and Marrow Transplant Consortium International Conference on Late Effects after Pediatric HCT</t>
  </si>
  <si>
    <t>American Society for Blood and Marrow Transplantation</t>
  </si>
  <si>
    <t>https://www.ncbi.nlm.nih.gov/pmc/articles/PMC5659271/</t>
  </si>
  <si>
    <t>Primary Immune Deficiency Treatment Consortium</t>
  </si>
  <si>
    <t>https://pubmed.ncbi.nlm.nih.gov/27454438/</t>
  </si>
  <si>
    <t>Severe Combined Immunodeficiency | Hematopoietic Stem Cell Transplantation</t>
  </si>
  <si>
    <t>4b</t>
  </si>
  <si>
    <t>4a</t>
  </si>
  <si>
    <t>https://paed.hku.hk/apsid/home.html</t>
  </si>
  <si>
    <t>https://www.sgk.gov.tr/Home/Index2/</t>
  </si>
  <si>
    <t>https://www.pha.gov.sa/ar-sa/Pages/default.aspx</t>
  </si>
  <si>
    <t>Yimmugo</t>
  </si>
  <si>
    <t>Thymoglobulin/ ATGAM</t>
  </si>
  <si>
    <t>Immunodeficiency 14</t>
  </si>
  <si>
    <t>Immunodeficiency 36</t>
  </si>
  <si>
    <t>https://ipopi.org/wp-content/uploads/2024/07/IPIC2023_congress_report_FINAL.pdf</t>
  </si>
  <si>
    <t>https://main.fpid.org/product/pid_newport_24/</t>
  </si>
  <si>
    <t>https://seicap.es/wp-content/uploads/2024/05/PROGRAMA-SEICAP-2024_V4.pdf</t>
  </si>
  <si>
    <t>https://www.raredisorders.ca/</t>
  </si>
  <si>
    <t>Türkiye</t>
  </si>
  <si>
    <t>Activity_Title</t>
  </si>
  <si>
    <t>Disease_Type</t>
  </si>
  <si>
    <t>Allergy and Immunology</t>
  </si>
  <si>
    <t>https://sanatorioaconcagua.com/servicio-alergia.html</t>
  </si>
  <si>
    <t>Immunology</t>
  </si>
  <si>
    <t>https://osepmendoza.com.ar/web/hospital-fleming/</t>
  </si>
  <si>
    <t>https://aapidp.com.ar/cartilla.php?centros=1</t>
  </si>
  <si>
    <t>http://www.bezrodnik.com.ar/#</t>
  </si>
  <si>
    <t>https://sitio.cnf.com.ar/staff-medico/</t>
  </si>
  <si>
    <t>https://www.ms.gba.gov.ar/sitios/htetamanti/servicios/</t>
  </si>
  <si>
    <t>https://salud.cordoba.gob.ar/hospital-infantil/</t>
  </si>
  <si>
    <t>https://buenosaires.gob.ar/salud/hospital-pedro-elizalde/inmunologia</t>
  </si>
  <si>
    <t>https://curf.com.ar/especialidades/Alergia%20e%20Inmunolog%C3%ADa/Staff/pediatricos/TQwzZerCHsi4R2Rnnfug?sec=pediatricos</t>
  </si>
  <si>
    <t>https://buenosaires.gob.ar/salud/hospitales-y-establecimientos-de-salud/hospital-de-ninos-dr-ricardo-gutierrez/inmunologia</t>
  </si>
  <si>
    <t>https://sanatoriodelacanada.com/servicios-2/</t>
  </si>
  <si>
    <t>https://www.alfredhealth.org.au/services/asthma-allergy-clinical-immunology-clinic</t>
  </si>
  <si>
    <t>https://www.monash.edu/medicine/translational/immunology/research/allergy-clinical-immunology</t>
  </si>
  <si>
    <t>https://www.burnet.edu.au/research/working-groups/diagnostic-markers-in-chronic-immune-disorders-group/</t>
  </si>
  <si>
    <t>https://www.wehi.edu.au/researcher/phil-hodgkin/</t>
  </si>
  <si>
    <t>https://www.rch.org.au/immunology/</t>
  </si>
  <si>
    <t>https://www.thermh.org.au/services/immunology-allergy</t>
  </si>
  <si>
    <t>https://memoria.ebc.com.br/agenciabrasil//noticia/2009-04-28/sao-paulo-inaugura-primeiro-centro-de-imunodeficiencia-primaria-da-america-latina</t>
  </si>
  <si>
    <t>https://pequenoprincipe.org.br/noticia/imunodeficiencia-primaria-diagnostico-precoce-salva-vidas/</t>
  </si>
  <si>
    <t>Immunodeficiency</t>
  </si>
  <si>
    <t>http://www.bcchildrens.ca/our-services/clinics/immunology</t>
  </si>
  <si>
    <t>https://muhc.ca/clinical-departements-services/allergy-Immunology</t>
  </si>
  <si>
    <t>Inborn Errors of the Immune System</t>
  </si>
  <si>
    <t>https://hospitalinfantildesanjose.org.co/nuestro-hospital.html?view=category&amp;id=67</t>
  </si>
  <si>
    <t>https://fundacion-fip.org/cjmc/</t>
  </si>
  <si>
    <t>https://hopital-necker.aphp.fr/immuno-hematologie-pediatrique#1576077032714-754953ff-32f4</t>
  </si>
  <si>
    <t>Hereditary Immunodeficiencies</t>
  </si>
  <si>
    <t>https://www.orpha.net/fr/expert-centres/centre/174826?orphaCode=174826</t>
  </si>
  <si>
    <t>https://www.medizin.uni-tuebingen.de/de/das-klinikum/einrichtungen/institute/immunologie#team</t>
  </si>
  <si>
    <t>https://www.uniklinik-ulm.de/immunologie.html</t>
  </si>
  <si>
    <t>https://www.uniklinikum-dresden.de/de/das-klinikum/universitaetscentren/universitaetscentrum-fuer-chronische-immundefizienzen</t>
  </si>
  <si>
    <t>https://www.uniklinik-freiburg.de/rheuim.html</t>
  </si>
  <si>
    <t>Immunology and Allergology</t>
  </si>
  <si>
    <t>https://www.policlinico.mi.it/en/units/33/medicine-immunology-and-allergology</t>
  </si>
  <si>
    <t>Immunodeficiency | Immunology</t>
  </si>
  <si>
    <t>https://www.kfshrc.edu.sa/ar/healthcare/specialties-and-centers/specialties-and-centers-riyadh/pediatrics</t>
  </si>
  <si>
    <t>https://www.clinicbarcelona.org/servicio/inmunologia</t>
  </si>
  <si>
    <t>https://hospitaluvrocio.es/unidad/pediatria/</t>
  </si>
  <si>
    <t>https://www.saludadiario.es/hospital/el-gregorio-maranon-centro-de-referencia-nacional-en-inmunodeficiencias-primarias/</t>
  </si>
  <si>
    <t>https://www.sjdhospitalbarcelona.org/es/servicios-asistenciales/alergia-inmunologia-clinica</t>
  </si>
  <si>
    <t>https://vhir.vallhebron.com/en/society/news/jeffrey-modell-foundation-recognizes-vall-dhebron-centre-excellence</t>
  </si>
  <si>
    <t>https://ankarasehir.saglik.gov.tr/TR-368699/cocuk-immunoloji-ve-alerji-hastaliklari.html</t>
  </si>
  <si>
    <t>https://marmaraeah.saglik.gov.tr/TR-1135300/cocuk-immunolojisi-amp-alerji-hastaliklari.html</t>
  </si>
  <si>
    <t>https://www.expmedndm.ox.ac.uk/research/clinical-immunology</t>
  </si>
  <si>
    <t>https://www.gosh.ae/conditions/immunology</t>
  </si>
  <si>
    <t>https://www.leedsth.nhs.uk/services/allergy-and-clinical-immunology/</t>
  </si>
  <si>
    <t>Allergy and Immunology | Immunodeficiency</t>
  </si>
  <si>
    <t>https://www.newcastle-hospitals.nhs.uk/services/immunology-and-allergy-unit/</t>
  </si>
  <si>
    <t>https://www.ucl.ac.uk/immunity-transplantation</t>
  </si>
  <si>
    <t>https://allergyandimmunology.heartofengland.nhs.uk/immunodeficiency/</t>
  </si>
  <si>
    <t>https://www.luriechildrens.org/en/specialties-conditions/pediatric-allergy-immunology/</t>
  </si>
  <si>
    <t>https://www.childrenshospital.org/programs/immunology-program</t>
  </si>
  <si>
    <t>https://www.stjude.org/research/centers-of-excellence/coe-iii.html</t>
  </si>
  <si>
    <t>https://www.chla.org/clinical-immunology-and-allergy/primary-immunodeficiencies-diagnostic-and-research-program</t>
  </si>
  <si>
    <t>https://www.chop.edu/centers-programs/immunology-service/why-choose-us</t>
  </si>
  <si>
    <t>https://research.childrensnational.org/center-for-cancer-and-immunology/research/immunology-immunodeficiency</t>
  </si>
  <si>
    <t>https://childrenswi.org/medical-care/immune-deficiency</t>
  </si>
  <si>
    <t>https://pediatrics.northwell.edu/departments-services/jeffrey-modell-diagnostic-center</t>
  </si>
  <si>
    <t>Primary Immunodeficiencies</t>
  </si>
  <si>
    <t>https://www.cincinnatichildrens.org/service/d/dchi</t>
  </si>
  <si>
    <t>https://www.dukehealth.org/pediatric-treatments/pediatric-allergy-and-immunology/primary-immunodeficiency-diseases?docsShowing=10&amp;showMiniFAD=1&amp;scrollPos=598.359375</t>
  </si>
  <si>
    <t>https://www.hopkinscim.org/initiatives/about-pi/</t>
  </si>
  <si>
    <t>https://www.medschool.lsuhsc.edu/Pediatrics/jmc_about.aspx</t>
  </si>
  <si>
    <t>https://www.stanfordchildrens.org/en/services/immune-deficiency</t>
  </si>
  <si>
    <t>https://www.mayoclinic.org/departments-centers/primary-immunodeficiency-center-minnesota/sections/research/rsc-20564251</t>
  </si>
  <si>
    <t>https://musckids.org/our-services/immunology-services</t>
  </si>
  <si>
    <t>https://www.nationwidechildrens.org/newsroom/news-releases/2019/05/jeffrey-modell-foundation</t>
  </si>
  <si>
    <t>https://www.stlouischildrens.org/media-newsroom/news-releases/jeffrey-modell-foundation-offers-hope-children-primary</t>
  </si>
  <si>
    <t>https://www.texaschildrens.org/departments/allergy-immunology</t>
  </si>
  <si>
    <t>https://www.ucihealth.org/medical-services/allergy-immunology</t>
  </si>
  <si>
    <t>https://www.uhhospitals.org/rainbow/services/pediatric-allergy-and-immunology/conditions-and-treatments/jeffrey-modell-diagnostic-center-for-primary-immunodeficiencies</t>
  </si>
  <si>
    <t>https://www.ucsfbenioffchildrens.org/clinics/immunology-center</t>
  </si>
  <si>
    <t>https://hospitalprivado.com.ar/especialidades-medicas/alergia-e-inmunologia.html</t>
  </si>
  <si>
    <t>https://compass.clinic/services/</t>
  </si>
  <si>
    <t>Immunodeficiency | Allergy and Immunology</t>
  </si>
  <si>
    <t>https://hillsallergyspecialists.clinic/allergy-and-immunology-consultation/</t>
  </si>
  <si>
    <t>https://www.allergyasthma.com.au/</t>
  </si>
  <si>
    <t>Primary Immune Deficiency | Allergy and Immunology</t>
  </si>
  <si>
    <t>https://www.allergynewcastle.com.au/services</t>
  </si>
  <si>
    <t>https://www.stvincentsclinic.com.au/find-a-doctor/specialties/clinical-immunology</t>
  </si>
  <si>
    <t>https://clinicaferraroni.com.br/</t>
  </si>
  <si>
    <t>https://www.providencehealthcare.org/en/clinics/primary-immunology-transition-clinic</t>
  </si>
  <si>
    <t>https://www.surreyallergyclinic.ca/</t>
  </si>
  <si>
    <t>https://www.borisclinic.ca/areas-of-care/specialized-services-clinics/allergy-immunology/</t>
  </si>
  <si>
    <t>Immunodeficiencies</t>
  </si>
  <si>
    <t>https://www.swissmedical.net/en/hospitals/genolier/specialties/allergology-immunology</t>
  </si>
  <si>
    <t>https://www.swissmedical.net/en/hospitals/montchoisi/specialties/allergology-immunology</t>
  </si>
  <si>
    <t>https://www.swissmedical.net/de/aerztezentren/oerlikon/fachgebiete/allergologie-immunologie</t>
  </si>
  <si>
    <t>https://www.swissmedical.net/en/hospitals/valere/specialties/allergology-immunology</t>
  </si>
  <si>
    <t>https://pcvmontreal.com/specialites-medicales/allergie</t>
  </si>
  <si>
    <t>https://www.marienhospital-herne.de/fachbereiche/medizinische-klinik-i-allgemeine-innere-nephrologie-gastroenterologie-pneumologie/immundefektambulanz.html</t>
  </si>
  <si>
    <t>https://immunodeficiencycenterleipzig.jimdofree.com/</t>
  </si>
  <si>
    <t>https://www.gaslini.org/reparti/immunologia-clinica-e-sperimentale/</t>
  </si>
  <si>
    <t>https://www.auxologico.it/immunologia-allergologia-reumatologia#equipe</t>
  </si>
  <si>
    <t>https://fujisawatokushukai.jp/department/rheumatism/</t>
  </si>
  <si>
    <t>https://mjh.or.kr/infant/health/class/immunodeficiency-disease.do</t>
  </si>
  <si>
    <t>https://bundang.chamc.co.kr/medical/department/PulmonologyAllergy/newsView.cha?bidx=677&amp;bbs=0&amp;rownum=10&amp;part=PLMD&amp;page=1</t>
  </si>
  <si>
    <t>https://www.amc.seoul.kr/asan/healthinfo/disease/diseaseDetail.do?contentId=31815&amp;tabIndex=1</t>
  </si>
  <si>
    <t>https://www.clinicaderma-alergia.com/inmunodeficiencia</t>
  </si>
  <si>
    <t>https://www.allergycliniclondon.co.uk/allergy-specialist-london/immunology/</t>
  </si>
  <si>
    <t>https://www.londonallergyclinic.com/what-we-do/conditions-treated</t>
  </si>
  <si>
    <t>https://allergy.wustl.edu/patient-care/specialty-clinics/pid/</t>
  </si>
  <si>
    <t>Primary Immunodeficiency Disease (PIDDs)</t>
  </si>
  <si>
    <t>https://www.carolinaasthma.com/primary-immunodeficiency-diseases/</t>
  </si>
  <si>
    <t>https://my.clevelandclinic.org/services/immunodeficiency-treatment#featured-provider-panel</t>
  </si>
  <si>
    <t>https://www.chp.edu/our-services/allergy-immunology/services-centers/primary-immunodeficiency-clinic</t>
  </si>
  <si>
    <t>Primary Immunodeficiency Disorders</t>
  </si>
  <si>
    <t>https://www.mariafarerichildrens.org/pulmonology-allergy-and-sleep-medicine</t>
  </si>
  <si>
    <t>Patient_Organisation</t>
  </si>
  <si>
    <t>Professional_Organisation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</si>
</sst>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d\,\ yyyy"/>
  </numFmts>
  <fonts count="20">
    <font>
      <sz val="10"/>
      <color rgb="FF000000"/>
      <name val="Arial"/>
      <charset val="134"/>
    </font>
    <font>
      <sz val="10"/>
      <color rgb="FF000000"/>
      <name val="Arial"/>
      <family val="2"/>
    </font>
    <font>
      <b/>
      <sz val="16"/>
      <color rgb="FF000000"/>
      <name val="Calibri"/>
      <family val="2"/>
    </font>
    <font>
      <sz val="10"/>
      <color rgb="FF000000"/>
      <name val="Calibri"/>
      <family val="2"/>
    </font>
    <font>
      <i/>
      <sz val="10"/>
      <color rgb="FF000000"/>
      <name val="Calibri"/>
      <family val="2"/>
    </font>
    <font>
      <b/>
      <sz val="11"/>
      <color rgb="FF000000"/>
      <name val="Calibri"/>
      <family val="2"/>
    </font>
    <font>
      <sz val="11"/>
      <name val="Calibri"/>
      <family val="2"/>
    </font>
    <font>
      <sz val="11"/>
      <color theme="1"/>
      <name val="Calibri"/>
      <family val="2"/>
    </font>
    <font>
      <b/>
      <sz val="16"/>
      <color theme="1"/>
      <name val="Calibri"/>
      <family val="2"/>
    </font>
    <font>
      <sz val="10"/>
      <name val="Arial"/>
      <family val="2"/>
    </font>
    <font>
      <u/>
      <sz val="11"/>
      <color theme="10"/>
      <name val="Calibri"/>
      <family val="2"/>
    </font>
    <font>
      <sz val="11"/>
      <color rgb="FF000000"/>
      <name val="Calibri"/>
      <family val="2"/>
    </font>
    <font>
      <u/>
      <sz val="10"/>
      <color theme="10"/>
      <name val="Arial"/>
      <family val="2"/>
    </font>
    <font>
      <sz val="11"/>
      <color rgb="FF000000"/>
      <name val="Arial"/>
      <family val="2"/>
    </font>
    <font>
      <u/>
      <sz val="11"/>
      <color theme="10"/>
      <name val="Arial"/>
      <family val="2"/>
      <scheme val="minor"/>
    </font>
    <font>
      <sz val="11"/>
      <color theme="1"/>
      <name val="Arial"/>
      <family val="2"/>
      <scheme val="minor"/>
    </font>
    <font>
      <sz val="11"/>
      <color theme="1"/>
      <name val="Arial"/>
      <family val="2"/>
    </font>
    <font>
      <sz val="10"/>
      <color rgb="FF000000"/>
      <name val="Arial"/>
      <family val="2"/>
    </font>
    <font>
      <b/>
      <sz val="11"/>
      <name val="Calibri"/>
      <family val="2"/>
    </font>
    <font>
      <sz val="10"/>
      <name val="Calibri"/>
      <family val="2"/>
    </font>
  </fonts>
  <fills count="3">
    <fill>
      <patternFill patternType="none"/>
    </fill>
    <fill>
      <patternFill patternType="gray125"/>
    </fill>
    <fill>
      <patternFill patternType="solid">
        <fgColor theme="0"/>
        <bgColor theme="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40">
    <xf numFmtId="0" fontId="0" fillId="0" borderId="0"/>
    <xf numFmtId="0" fontId="10"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xf numFmtId="0" fontId="15" fillId="0" borderId="0"/>
    <xf numFmtId="0" fontId="15" fillId="0" borderId="0"/>
    <xf numFmtId="0" fontId="15" fillId="0" borderId="0"/>
    <xf numFmtId="0" fontId="15"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0" borderId="0"/>
    <xf numFmtId="0" fontId="16"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7" fillId="0" borderId="0"/>
    <xf numFmtId="0" fontId="12" fillId="0" borderId="0" applyNumberFormat="0" applyFill="0" applyBorder="0" applyAlignment="0" applyProtection="0"/>
    <xf numFmtId="0" fontId="1" fillId="0" borderId="0"/>
  </cellStyleXfs>
  <cellXfs count="98">
    <xf numFmtId="0" fontId="0" fillId="0" borderId="0" xfId="0"/>
    <xf numFmtId="0" fontId="1" fillId="0" borderId="0" xfId="14"/>
    <xf numFmtId="0" fontId="10" fillId="0" borderId="1" xfId="2" applyFont="1" applyFill="1" applyBorder="1" applyAlignment="1">
      <alignment horizontal="left" vertical="top"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1" fillId="0" borderId="1" xfId="14" applyFont="1" applyFill="1" applyBorder="1" applyAlignment="1">
      <alignment horizontal="center" vertical="center" wrapText="1"/>
    </xf>
    <xf numFmtId="0" fontId="7" fillId="0" borderId="1" xfId="14" applyFont="1" applyFill="1" applyBorder="1" applyAlignment="1">
      <alignment wrapText="1"/>
    </xf>
    <xf numFmtId="0" fontId="5" fillId="0" borderId="1" xfId="14" applyFont="1" applyFill="1" applyBorder="1" applyAlignment="1">
      <alignment horizontal="center" vertical="center" wrapText="1"/>
    </xf>
    <xf numFmtId="0" fontId="1" fillId="0" borderId="0" xfId="14" applyFill="1"/>
    <xf numFmtId="0" fontId="11" fillId="0" borderId="1" xfId="14" applyFont="1" applyFill="1" applyBorder="1" applyAlignment="1">
      <alignment horizontal="center" wrapText="1"/>
    </xf>
    <xf numFmtId="0" fontId="13" fillId="0" borderId="0" xfId="14" applyFont="1" applyFill="1"/>
    <xf numFmtId="0" fontId="5" fillId="0" borderId="1" xfId="0" applyFont="1" applyFill="1" applyBorder="1" applyAlignment="1">
      <alignment horizontal="center" vertical="center" wrapText="1"/>
    </xf>
    <xf numFmtId="0" fontId="6" fillId="0" borderId="1" xfId="14" applyFont="1" applyFill="1" applyBorder="1" applyAlignment="1">
      <alignment horizontal="left" vertical="top" wrapText="1"/>
    </xf>
    <xf numFmtId="0" fontId="7" fillId="0" borderId="1" xfId="14" applyFont="1" applyBorder="1"/>
    <xf numFmtId="0" fontId="18" fillId="0" borderId="1" xfId="14" applyFont="1" applyBorder="1" applyAlignment="1">
      <alignment horizontal="center" vertical="center" wrapText="1"/>
    </xf>
    <xf numFmtId="0" fontId="7" fillId="0" borderId="1" xfId="14" applyFont="1" applyBorder="1" applyAlignment="1">
      <alignment horizontal="center" vertical="center"/>
    </xf>
    <xf numFmtId="0" fontId="6" fillId="0" borderId="1" xfId="10" applyFont="1" applyFill="1" applyBorder="1" applyAlignment="1">
      <alignment horizontal="left" vertical="top" wrapText="1"/>
    </xf>
    <xf numFmtId="0" fontId="10" fillId="0" borderId="1" xfId="38" applyFont="1" applyFill="1" applyBorder="1" applyAlignment="1">
      <alignment horizontal="left" vertical="top" wrapText="1"/>
    </xf>
    <xf numFmtId="0" fontId="11" fillId="0" borderId="1" xfId="14" applyFont="1" applyFill="1" applyBorder="1" applyAlignment="1">
      <alignment horizontal="left" vertical="top" wrapText="1"/>
    </xf>
    <xf numFmtId="0" fontId="5" fillId="0" borderId="1" xfId="14" applyFont="1" applyBorder="1" applyAlignment="1">
      <alignment horizontal="center" vertical="center" wrapText="1"/>
    </xf>
    <xf numFmtId="0" fontId="9" fillId="0" borderId="0" xfId="37" applyFont="1" applyAlignment="1">
      <alignment vertical="top" wrapText="1"/>
    </xf>
    <xf numFmtId="0" fontId="6" fillId="0" borderId="0" xfId="37" applyFont="1" applyAlignment="1">
      <alignment vertical="top" wrapText="1"/>
    </xf>
    <xf numFmtId="0" fontId="17" fillId="0" borderId="0" xfId="37" applyAlignment="1">
      <alignment vertical="top" wrapText="1"/>
    </xf>
    <xf numFmtId="0" fontId="10" fillId="0" borderId="1" xfId="38" applyFont="1" applyFill="1" applyBorder="1" applyAlignment="1">
      <alignment vertical="top" wrapText="1"/>
    </xf>
    <xf numFmtId="0" fontId="10" fillId="0" borderId="1" xfId="38" applyNumberFormat="1" applyFont="1" applyFill="1" applyBorder="1" applyAlignment="1">
      <alignment horizontal="left" vertical="top" wrapText="1"/>
    </xf>
    <xf numFmtId="0" fontId="10" fillId="0" borderId="1" xfId="38" quotePrefix="1" applyFont="1" applyFill="1" applyBorder="1" applyAlignment="1">
      <alignment horizontal="left" vertical="top" wrapText="1"/>
    </xf>
    <xf numFmtId="0" fontId="10" fillId="0" borderId="1" xfId="38" quotePrefix="1" applyNumberFormat="1" applyFont="1" applyFill="1" applyBorder="1" applyAlignment="1">
      <alignment horizontal="left" vertical="top" wrapText="1"/>
    </xf>
    <xf numFmtId="0" fontId="1" fillId="0" borderId="0" xfId="9"/>
    <xf numFmtId="0" fontId="7" fillId="0" borderId="1" xfId="9" applyFont="1" applyFill="1" applyBorder="1" applyAlignment="1">
      <alignment horizontal="center" vertical="center" wrapText="1"/>
    </xf>
    <xf numFmtId="0" fontId="7" fillId="0" borderId="1" xfId="9" applyFont="1" applyFill="1" applyBorder="1" applyAlignment="1">
      <alignment horizontal="left" vertical="top" wrapText="1"/>
    </xf>
    <xf numFmtId="0" fontId="11" fillId="0" borderId="1" xfId="9" applyFont="1" applyFill="1" applyBorder="1" applyAlignment="1">
      <alignment horizontal="left" vertical="top" wrapText="1"/>
    </xf>
    <xf numFmtId="0" fontId="7" fillId="0" borderId="1" xfId="9" applyFont="1" applyFill="1" applyBorder="1" applyAlignment="1">
      <alignment wrapText="1"/>
    </xf>
    <xf numFmtId="0" fontId="13" fillId="0" borderId="0" xfId="9" applyFont="1"/>
    <xf numFmtId="0" fontId="12" fillId="0" borderId="1" xfId="38" applyFill="1" applyBorder="1" applyAlignment="1">
      <alignment horizontal="left" vertical="top" wrapText="1"/>
    </xf>
    <xf numFmtId="0" fontId="7" fillId="0" borderId="1" xfId="14"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38" applyFont="1" applyFill="1" applyBorder="1" applyAlignment="1">
      <alignment vertical="center"/>
    </xf>
    <xf numFmtId="0" fontId="7" fillId="0" borderId="1" xfId="14" applyFont="1" applyFill="1" applyBorder="1" applyAlignment="1">
      <alignment horizontal="center" vertical="top" wrapText="1"/>
    </xf>
    <xf numFmtId="0" fontId="5" fillId="0" borderId="1" xfId="37" applyFont="1" applyFill="1" applyBorder="1" applyAlignment="1">
      <alignment horizontal="center" vertical="center" wrapText="1"/>
    </xf>
    <xf numFmtId="0" fontId="11" fillId="0" borderId="1" xfId="37" applyFont="1" applyFill="1" applyBorder="1" applyAlignment="1">
      <alignment horizontal="center" vertical="center" wrapText="1"/>
    </xf>
    <xf numFmtId="0" fontId="11" fillId="0" borderId="1" xfId="37" applyNumberFormat="1" applyFont="1" applyFill="1" applyBorder="1" applyAlignment="1">
      <alignment vertical="top" wrapText="1"/>
    </xf>
    <xf numFmtId="0" fontId="11" fillId="0" borderId="1" xfId="37" applyFont="1" applyFill="1" applyBorder="1" applyAlignment="1">
      <alignment vertical="top" wrapText="1"/>
    </xf>
    <xf numFmtId="1" fontId="11" fillId="0" borderId="1" xfId="37" applyNumberFormat="1" applyFont="1" applyFill="1" applyBorder="1" applyAlignment="1">
      <alignment horizontal="center" vertical="center" wrapText="1"/>
    </xf>
    <xf numFmtId="164" fontId="11" fillId="0" borderId="1" xfId="37" applyNumberFormat="1" applyFont="1" applyFill="1" applyBorder="1" applyAlignment="1">
      <alignment vertical="top" wrapText="1"/>
    </xf>
    <xf numFmtId="0" fontId="10" fillId="0" borderId="0" xfId="38" applyFont="1" applyFill="1" applyAlignment="1">
      <alignment vertical="top" wrapText="1"/>
    </xf>
    <xf numFmtId="0" fontId="5" fillId="0" borderId="1" xfId="9" applyFont="1" applyFill="1" applyBorder="1" applyAlignment="1">
      <alignment horizontal="center" vertical="center" wrapText="1"/>
    </xf>
    <xf numFmtId="0" fontId="7" fillId="0" borderId="1" xfId="9" applyFont="1" applyFill="1" applyBorder="1" applyAlignment="1">
      <alignment horizontal="center" vertical="top" wrapText="1"/>
    </xf>
    <xf numFmtId="0" fontId="11" fillId="0" borderId="1" xfId="14" applyFont="1" applyFill="1" applyBorder="1"/>
    <xf numFmtId="0" fontId="0" fillId="0" borderId="0" xfId="34" applyFont="1"/>
    <xf numFmtId="0" fontId="5" fillId="0" borderId="1" xfId="34" applyFont="1" applyFill="1" applyBorder="1" applyAlignment="1">
      <alignment horizontal="center" vertical="center" wrapText="1"/>
    </xf>
    <xf numFmtId="0" fontId="7" fillId="0" borderId="1" xfId="34" applyFont="1" applyFill="1" applyBorder="1" applyAlignment="1">
      <alignment horizontal="center" vertical="center"/>
    </xf>
    <xf numFmtId="0" fontId="10" fillId="0" borderId="1" xfId="4" applyFont="1" applyFill="1" applyBorder="1" applyAlignment="1">
      <alignment horizontal="left" vertical="top" wrapText="1"/>
    </xf>
    <xf numFmtId="0" fontId="7" fillId="0" borderId="1" xfId="34" applyFont="1" applyFill="1" applyBorder="1" applyAlignment="1">
      <alignment horizontal="left" vertical="top" wrapText="1"/>
    </xf>
    <xf numFmtId="0" fontId="11" fillId="0" borderId="0" xfId="34" applyFont="1"/>
    <xf numFmtId="0" fontId="0" fillId="0" borderId="0" xfId="34" applyFont="1" applyAlignment="1"/>
    <xf numFmtId="0" fontId="7" fillId="0" borderId="1" xfId="34" applyFont="1" applyFill="1" applyBorder="1" applyAlignment="1">
      <alignment horizontal="center" vertical="center" wrapText="1"/>
    </xf>
    <xf numFmtId="0" fontId="11" fillId="0" borderId="1" xfId="34" applyFont="1" applyFill="1" applyBorder="1" applyAlignment="1">
      <alignment horizontal="left" vertical="top" wrapText="1"/>
    </xf>
    <xf numFmtId="0" fontId="8" fillId="0" borderId="1" xfId="14" applyFont="1" applyFill="1" applyBorder="1" applyAlignment="1">
      <alignment horizontal="left" vertical="center" wrapText="1"/>
    </xf>
    <xf numFmtId="0" fontId="7" fillId="0" borderId="1" xfId="14" applyFont="1" applyFill="1" applyBorder="1" applyAlignment="1">
      <alignment horizontal="left" vertical="top" wrapText="1"/>
    </xf>
    <xf numFmtId="0" fontId="9" fillId="0" borderId="1" xfId="14" applyFont="1" applyFill="1" applyBorder="1"/>
    <xf numFmtId="0" fontId="8" fillId="0" borderId="2" xfId="37" applyFont="1" applyBorder="1" applyAlignment="1">
      <alignment vertical="top" wrapText="1"/>
    </xf>
    <xf numFmtId="0" fontId="8" fillId="0" borderId="3" xfId="37" applyFont="1" applyBorder="1" applyAlignment="1">
      <alignment vertical="top" wrapText="1"/>
    </xf>
    <xf numFmtId="0" fontId="8" fillId="0" borderId="4" xfId="37" applyFont="1" applyBorder="1" applyAlignment="1">
      <alignment vertical="top" wrapText="1"/>
    </xf>
    <xf numFmtId="0" fontId="7" fillId="0" borderId="5" xfId="37" applyFont="1" applyBorder="1" applyAlignment="1">
      <alignment vertical="top" wrapText="1"/>
    </xf>
    <xf numFmtId="0" fontId="7" fillId="0" borderId="6" xfId="37" applyFont="1" applyBorder="1" applyAlignment="1">
      <alignment vertical="top" wrapText="1"/>
    </xf>
    <xf numFmtId="0" fontId="7" fillId="0" borderId="7" xfId="37" applyFont="1" applyBorder="1" applyAlignment="1">
      <alignment vertical="top" wrapText="1"/>
    </xf>
    <xf numFmtId="0" fontId="7" fillId="0" borderId="8" xfId="37" applyFont="1" applyBorder="1" applyAlignment="1">
      <alignment vertical="top" wrapText="1"/>
    </xf>
    <xf numFmtId="0" fontId="7" fillId="0" borderId="9" xfId="37" applyFont="1" applyBorder="1" applyAlignment="1">
      <alignment vertical="top" wrapText="1"/>
    </xf>
    <xf numFmtId="0" fontId="7" fillId="0" borderId="10" xfId="37" applyFont="1" applyBorder="1" applyAlignment="1">
      <alignment vertical="top" wrapText="1"/>
    </xf>
    <xf numFmtId="0"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top" wrapText="1"/>
    </xf>
    <xf numFmtId="0" fontId="9" fillId="0" borderId="1" xfId="0" applyFont="1" applyBorder="1"/>
    <xf numFmtId="0" fontId="8" fillId="0" borderId="1" xfId="14" applyFont="1" applyBorder="1" applyAlignment="1">
      <alignment horizontal="left" vertical="center" wrapText="1"/>
    </xf>
    <xf numFmtId="0" fontId="7" fillId="0" borderId="1" xfId="14" applyFont="1" applyBorder="1" applyAlignment="1">
      <alignment horizontal="left" vertical="top" wrapText="1"/>
    </xf>
    <xf numFmtId="0" fontId="19" fillId="0" borderId="1" xfId="14" applyFont="1" applyBorder="1"/>
    <xf numFmtId="0" fontId="8" fillId="2" borderId="1" xfId="0" applyFont="1" applyFill="1" applyBorder="1" applyAlignment="1">
      <alignment horizontal="left" vertical="center" wrapText="1"/>
    </xf>
    <xf numFmtId="0" fontId="8" fillId="0" borderId="1" xfId="9" applyFont="1" applyBorder="1" applyAlignment="1">
      <alignment horizontal="left" vertical="center" wrapText="1"/>
    </xf>
    <xf numFmtId="0" fontId="7" fillId="0" borderId="1" xfId="9" applyFont="1" applyBorder="1" applyAlignment="1">
      <alignment horizontal="left" vertical="top" wrapText="1"/>
    </xf>
    <xf numFmtId="0" fontId="9" fillId="0" borderId="1" xfId="9" applyFont="1" applyBorder="1"/>
    <xf numFmtId="0" fontId="8" fillId="2" borderId="11" xfId="34" applyFont="1" applyFill="1" applyBorder="1" applyAlignment="1">
      <alignment horizontal="left" vertical="center" wrapText="1"/>
    </xf>
    <xf numFmtId="0" fontId="8" fillId="2" borderId="12" xfId="34" applyFont="1" applyFill="1" applyBorder="1" applyAlignment="1">
      <alignment horizontal="left" vertical="center" wrapText="1"/>
    </xf>
    <xf numFmtId="0" fontId="7" fillId="0" borderId="13" xfId="34" applyFont="1" applyBorder="1" applyAlignment="1">
      <alignment horizontal="left" vertical="top" wrapText="1"/>
    </xf>
    <xf numFmtId="0" fontId="9" fillId="0" borderId="14" xfId="34" applyFont="1" applyBorder="1"/>
    <xf numFmtId="0" fontId="9" fillId="0" borderId="15" xfId="34" applyFont="1" applyBorder="1"/>
    <xf numFmtId="0" fontId="9" fillId="0" borderId="16" xfId="34" applyFont="1" applyBorder="1"/>
    <xf numFmtId="0" fontId="9" fillId="0" borderId="0" xfId="34" applyFont="1"/>
    <xf numFmtId="0" fontId="9" fillId="0" borderId="17" xfId="34" applyFont="1" applyBorder="1"/>
    <xf numFmtId="0" fontId="8" fillId="2" borderId="1" xfId="34" applyNumberFormat="1" applyFont="1" applyFill="1" applyBorder="1" applyAlignment="1">
      <alignment horizontal="left" vertical="center" wrapText="1"/>
    </xf>
    <xf numFmtId="0" fontId="8" fillId="2" borderId="1" xfId="34" applyFont="1" applyFill="1" applyBorder="1" applyAlignment="1">
      <alignment horizontal="left" vertical="center" wrapText="1"/>
    </xf>
    <xf numFmtId="0" fontId="7" fillId="0" borderId="1" xfId="34" applyFont="1" applyBorder="1" applyAlignment="1">
      <alignment horizontal="left" vertical="top" wrapText="1"/>
    </xf>
    <xf numFmtId="0" fontId="2" fillId="0" borderId="1" xfId="14" applyFont="1" applyBorder="1" applyAlignment="1">
      <alignment horizontal="left" vertical="center" wrapText="1"/>
    </xf>
    <xf numFmtId="0" fontId="3" fillId="0" borderId="1" xfId="14" applyFont="1" applyBorder="1" applyAlignment="1">
      <alignment horizontal="left" vertical="top" wrapText="1"/>
    </xf>
    <xf numFmtId="0" fontId="4" fillId="0" borderId="1" xfId="14" applyFont="1" applyBorder="1" applyAlignment="1">
      <alignment horizontal="left" vertical="top" wrapText="1"/>
    </xf>
    <xf numFmtId="0" fontId="5" fillId="0" borderId="1" xfId="14" applyFont="1" applyBorder="1" applyAlignment="1">
      <alignment horizontal="center" vertical="center" wrapText="1"/>
    </xf>
    <xf numFmtId="0" fontId="6" fillId="0" borderId="1" xfId="14" applyFont="1" applyBorder="1"/>
    <xf numFmtId="0" fontId="5" fillId="0" borderId="1" xfId="14" applyFont="1" applyBorder="1" applyAlignment="1">
      <alignment horizontal="center" vertical="center"/>
    </xf>
    <xf numFmtId="0" fontId="6" fillId="0" borderId="1" xfId="14" applyFont="1" applyBorder="1" applyAlignment="1">
      <alignment vertical="center"/>
    </xf>
  </cellXfs>
  <cellStyles count="40">
    <cellStyle name="Hyperlink" xfId="38" builtinId="8"/>
    <cellStyle name="Hyperlink 2" xfId="1"/>
    <cellStyle name="Hyperlink 3" xfId="2"/>
    <cellStyle name="Hyperlink 4" xfId="3"/>
    <cellStyle name="Hyperlink 5" xfId="4"/>
    <cellStyle name="Normal" xfId="0" builtinId="0"/>
    <cellStyle name="Normal 10" xfId="5"/>
    <cellStyle name="Normal 10 2" xfId="6"/>
    <cellStyle name="Normal 11" xfId="7"/>
    <cellStyle name="Normal 11 2" xfId="8"/>
    <cellStyle name="Normal 12" xfId="9"/>
    <cellStyle name="Normal 12 2" xfId="10"/>
    <cellStyle name="Normal 13" xfId="11"/>
    <cellStyle name="Normal 14" xfId="12"/>
    <cellStyle name="Normal 14 2" xfId="13"/>
    <cellStyle name="Normal 15" xfId="37"/>
    <cellStyle name="Normal 15 2" xfId="39"/>
    <cellStyle name="Normal 2" xfId="14"/>
    <cellStyle name="Normal 3" xfId="15"/>
    <cellStyle name="Normal 3 2" xfId="16"/>
    <cellStyle name="Normal 4" xfId="17"/>
    <cellStyle name="Normal 5" xfId="18"/>
    <cellStyle name="Normal 5 2" xfId="19"/>
    <cellStyle name="Normal 5 2 2" xfId="20"/>
    <cellStyle name="Normal 5 2 2 2" xfId="21"/>
    <cellStyle name="Normal 5 2 3" xfId="22"/>
    <cellStyle name="Normal 5 3" xfId="23"/>
    <cellStyle name="Normal 5 3 2" xfId="24"/>
    <cellStyle name="Normal 5 4" xfId="25"/>
    <cellStyle name="Normal 6" xfId="26"/>
    <cellStyle name="Normal 6 2" xfId="27"/>
    <cellStyle name="Normal 6 3" xfId="28"/>
    <cellStyle name="Normal 7" xfId="29"/>
    <cellStyle name="Normal 7 2" xfId="30"/>
    <cellStyle name="Normal 7 2 2" xfId="31"/>
    <cellStyle name="Normal 7 3" xfId="32"/>
    <cellStyle name="Normal 8" xfId="33"/>
    <cellStyle name="Normal 8 2" xfId="34"/>
    <cellStyle name="Normal 9" xfId="35"/>
    <cellStyle name="Normal 9 2" xfId="36"/>
  </cellStyles>
  <dxfs count="11">
    <dxf>
      <fill>
        <patternFill patternType="solid">
          <fgColor rgb="FFE6B8AF"/>
          <bgColor rgb="FFE6B8AF"/>
        </patternFill>
      </fill>
    </dxf>
    <dxf>
      <fill>
        <patternFill patternType="solid">
          <fgColor rgb="FFE6B8AF"/>
          <bgColor rgb="FFE6B8AF"/>
        </patternFill>
      </fill>
    </dxf>
    <dxf>
      <font>
        <color rgb="FF9C0006"/>
      </font>
      <fill>
        <patternFill>
          <bgColor rgb="FFFFC7CE"/>
        </patternFill>
      </fill>
    </dxf>
    <dxf>
      <fill>
        <patternFill patternType="solid">
          <fgColor rgb="FFE6B8AF"/>
          <bgColor rgb="FFE6B8AF"/>
        </patternFill>
      </fill>
    </dxf>
    <dxf>
      <fill>
        <patternFill patternType="solid">
          <fgColor rgb="FFE6B8AF"/>
          <bgColor rgb="FFE6B8AF"/>
        </patternFill>
      </fill>
    </dxf>
    <dxf>
      <fill>
        <patternFill patternType="solid">
          <fgColor rgb="FFE6B8AF"/>
          <bgColor rgb="FFE6B8AF"/>
        </patternFill>
      </fill>
    </dxf>
    <dxf>
      <fill>
        <patternFill patternType="solid">
          <fgColor rgb="FFE6B8AF"/>
          <bgColor rgb="FFE6B8A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link.springer.com/journal/10528" TargetMode="External"/><Relationship Id="rId21" Type="http://schemas.openxmlformats.org/officeDocument/2006/relationships/hyperlink" Target="https://apjai-journal.org/" TargetMode="External"/><Relationship Id="rId42" Type="http://schemas.openxmlformats.org/officeDocument/2006/relationships/hyperlink" Target="https://www.sciencedirect.com/journal/molecular-immunology" TargetMode="External"/><Relationship Id="rId63" Type="http://schemas.openxmlformats.org/officeDocument/2006/relationships/hyperlink" Target="https://www.aai.org.tr/" TargetMode="External"/><Relationship Id="rId84" Type="http://schemas.openxmlformats.org/officeDocument/2006/relationships/hyperlink" Target="https://journals.lww.com/apallergy/pages/default.aspx" TargetMode="External"/><Relationship Id="rId138" Type="http://schemas.openxmlformats.org/officeDocument/2006/relationships/hyperlink" Target="https://www.nature.com/ejhg/" TargetMode="External"/><Relationship Id="rId159" Type="http://schemas.openxmlformats.org/officeDocument/2006/relationships/hyperlink" Target="https://link.springer.com/journal/10709" TargetMode="External"/><Relationship Id="rId170" Type="http://schemas.openxmlformats.org/officeDocument/2006/relationships/hyperlink" Target="https://genomicsinform.biomedcentral.com/" TargetMode="External"/><Relationship Id="rId191" Type="http://schemas.openxmlformats.org/officeDocument/2006/relationships/hyperlink" Target="https://www.sciencedirect.com/journal/molecular-genetics-and-metabolism-reports" TargetMode="External"/><Relationship Id="rId205" Type="http://schemas.openxmlformats.org/officeDocument/2006/relationships/hyperlink" Target="https://journals.plos.org/plosgenetics/" TargetMode="External"/><Relationship Id="rId107" Type="http://schemas.openxmlformats.org/officeDocument/2006/relationships/hyperlink" Target="https://genesandnutrition.biomedcentral.com/" TargetMode="External"/><Relationship Id="rId11" Type="http://schemas.openxmlformats.org/officeDocument/2006/relationships/hyperlink" Target="https://www.embopress.org/page/journal/14602075/editors" TargetMode="External"/><Relationship Id="rId32" Type="http://schemas.openxmlformats.org/officeDocument/2006/relationships/hyperlink" Target="https://onlinelibrary.wiley.com/journal/1615" TargetMode="External"/><Relationship Id="rId37" Type="http://schemas.openxmlformats.org/officeDocument/2006/relationships/hyperlink" Target="https://e-aair.org/index.php?body=board" TargetMode="External"/><Relationship Id="rId53" Type="http://schemas.openxmlformats.org/officeDocument/2006/relationships/hyperlink" Target="https://www.sciencedirect.com/journal/clinical-immunology" TargetMode="External"/><Relationship Id="rId58" Type="http://schemas.openxmlformats.org/officeDocument/2006/relationships/hyperlink" Target="https://www.jiaci.org/" TargetMode="External"/><Relationship Id="rId74" Type="http://schemas.openxmlformats.org/officeDocument/2006/relationships/hyperlink" Target="https://tandfonline.com/journals/iimm20" TargetMode="External"/><Relationship Id="rId79" Type="http://schemas.openxmlformats.org/officeDocument/2006/relationships/hyperlink" Target="https://www.sciencedirect.com/journal/clinical-immunology-communications" TargetMode="External"/><Relationship Id="rId102" Type="http://schemas.openxmlformats.org/officeDocument/2006/relationships/hyperlink" Target="https://www.sciencedirect.com/journal/current-research-in-immunology" TargetMode="External"/><Relationship Id="rId123" Type="http://schemas.openxmlformats.org/officeDocument/2006/relationships/hyperlink" Target="https://www.ahajournals.org/journal/circgen" TargetMode="External"/><Relationship Id="rId128" Type="http://schemas.openxmlformats.org/officeDocument/2006/relationships/hyperlink" Target="https://link.springer.com/journal/294" TargetMode="External"/><Relationship Id="rId144" Type="http://schemas.openxmlformats.org/officeDocument/2006/relationships/hyperlink" Target="https://www.sciencedirect.com/journal/gene-expression-patterns" TargetMode="External"/><Relationship Id="rId149" Type="http://schemas.openxmlformats.org/officeDocument/2006/relationships/hyperlink" Target="https://genesdev.cshlp.org/" TargetMode="External"/><Relationship Id="rId5" Type="http://schemas.openxmlformats.org/officeDocument/2006/relationships/hyperlink" Target="https://www.cell.com/cell/editorial-board" TargetMode="External"/><Relationship Id="rId90" Type="http://schemas.openxmlformats.org/officeDocument/2006/relationships/hyperlink" Target="https://academic.oup.com/ooim" TargetMode="External"/><Relationship Id="rId95" Type="http://schemas.openxmlformats.org/officeDocument/2006/relationships/hyperlink" Target="https://jamanetwork.com/journals/jama" TargetMode="External"/><Relationship Id="rId160" Type="http://schemas.openxmlformats.org/officeDocument/2006/relationships/hyperlink" Target="https://academic.oup.com/genetics" TargetMode="External"/><Relationship Id="rId165" Type="http://schemas.openxmlformats.org/officeDocument/2006/relationships/hyperlink" Target="https://cdnsciencepub.com/journal/gen" TargetMode="External"/><Relationship Id="rId181" Type="http://schemas.openxmlformats.org/officeDocument/2006/relationships/hyperlink" Target="https://www.sciencedirect.com/journal/journal-of-genetics-and-genomics" TargetMode="External"/><Relationship Id="rId186" Type="http://schemas.openxmlformats.org/officeDocument/2006/relationships/hyperlink" Target="https://www.degruyter.com/journal/key/medgen/html?lang=en" TargetMode="External"/><Relationship Id="rId211" Type="http://schemas.openxmlformats.org/officeDocument/2006/relationships/hyperlink" Target="https://sag.org.ar/jbag/en/bag/" TargetMode="External"/><Relationship Id="rId22" Type="http://schemas.openxmlformats.org/officeDocument/2006/relationships/hyperlink" Target="https://onlinelibrary.wiley.com/journal/15214141" TargetMode="External"/><Relationship Id="rId27" Type="http://schemas.openxmlformats.org/officeDocument/2006/relationships/hyperlink" Target="https://www.sciencedirect.com/journal/annals-of-allergy-asthma-and-immunology" TargetMode="External"/><Relationship Id="rId43" Type="http://schemas.openxmlformats.org/officeDocument/2006/relationships/hyperlink" Target="https://link.springer.com/journal/430" TargetMode="External"/><Relationship Id="rId48" Type="http://schemas.openxmlformats.org/officeDocument/2006/relationships/hyperlink" Target="https://aacijournal.biomedcentral.com/" TargetMode="External"/><Relationship Id="rId64" Type="http://schemas.openxmlformats.org/officeDocument/2006/relationships/hyperlink" Target="https://www.tandfonline.com/journals/timm20" TargetMode="External"/><Relationship Id="rId69" Type="http://schemas.openxmlformats.org/officeDocument/2006/relationships/hyperlink" Target="https://www.tandfonline.com/journals/iipi20" TargetMode="External"/><Relationship Id="rId113" Type="http://schemas.openxmlformats.org/officeDocument/2006/relationships/hyperlink" Target="https://www.annualreviews.org/content/journals/genet" TargetMode="External"/><Relationship Id="rId118" Type="http://schemas.openxmlformats.org/officeDocument/2006/relationships/hyperlink" Target="https://bmcgenomdata.biomedcentral.com/" TargetMode="External"/><Relationship Id="rId134" Type="http://schemas.openxmlformats.org/officeDocument/2006/relationships/hyperlink" Target="https://www.tandfonline.com/journals/kepi20" TargetMode="External"/><Relationship Id="rId139" Type="http://schemas.openxmlformats.org/officeDocument/2006/relationships/hyperlink" Target="https://www.sciencedirect.com/journal/european-journal-of-medical-genetics" TargetMode="External"/><Relationship Id="rId80" Type="http://schemas.openxmlformats.org/officeDocument/2006/relationships/hyperlink" Target="https://www.sciencedirect.com/journal/comparative-immunology-reports" TargetMode="External"/><Relationship Id="rId85" Type="http://schemas.openxmlformats.org/officeDocument/2006/relationships/hyperlink" Target="https://asthma-and-bronchitis.imedpub.com/" TargetMode="External"/><Relationship Id="rId150" Type="http://schemas.openxmlformats.org/officeDocument/2006/relationships/hyperlink" Target="https://genesenvironment.biomedcentral.com/" TargetMode="External"/><Relationship Id="rId155" Type="http://schemas.openxmlformats.org/officeDocument/2006/relationships/hyperlink" Target="https://onlinelibrary.wiley.com/journal/1601183x" TargetMode="External"/><Relationship Id="rId171" Type="http://schemas.openxmlformats.org/officeDocument/2006/relationships/hyperlink" Target="https://home.liebertpub.com/publications/human-gene-therapy/19" TargetMode="External"/><Relationship Id="rId176" Type="http://schemas.openxmlformats.org/officeDocument/2006/relationships/hyperlink" Target="https://onlinelibrary.wiley.com/journal/4140" TargetMode="External"/><Relationship Id="rId192" Type="http://schemas.openxmlformats.org/officeDocument/2006/relationships/hyperlink" Target="https://www.sciencedirect.com/journal/mutation-research-fundamental-and-molecular-mechanisms-of-mutagenesis" TargetMode="External"/><Relationship Id="rId197" Type="http://schemas.openxmlformats.org/officeDocument/2006/relationships/hyperlink" Target="https://www.tandfonline.com/journals/cngs20" TargetMode="External"/><Relationship Id="rId206" Type="http://schemas.openxmlformats.org/officeDocument/2006/relationships/hyperlink" Target="https://www.degruyter.com/journal/key/sagmb/html?lang=en" TargetMode="External"/><Relationship Id="rId201" Type="http://schemas.openxmlformats.org/officeDocument/2006/relationships/hyperlink" Target="https://www.tandfonline.com/journals/ipgs20" TargetMode="External"/><Relationship Id="rId12" Type="http://schemas.openxmlformats.org/officeDocument/2006/relationships/hyperlink" Target="https://www.nature.com/nri/" TargetMode="External"/><Relationship Id="rId17" Type="http://schemas.openxmlformats.org/officeDocument/2006/relationships/hyperlink" Target="https://www.cell.com/trends/immunology/home" TargetMode="External"/><Relationship Id="rId33" Type="http://schemas.openxmlformats.org/officeDocument/2006/relationships/hyperlink" Target="https://onlinelibrary.wiley.com/journal/13993038" TargetMode="External"/><Relationship Id="rId38" Type="http://schemas.openxmlformats.org/officeDocument/2006/relationships/hyperlink" Target="https://academic.oup.com/intimm" TargetMode="External"/><Relationship Id="rId59" Type="http://schemas.openxmlformats.org/officeDocument/2006/relationships/hyperlink" Target="https://www.begellhouse.com/journals/critical-reviews-in-immunology.html" TargetMode="External"/><Relationship Id="rId103" Type="http://schemas.openxmlformats.org/officeDocument/2006/relationships/hyperlink" Target="https://link.springer.com/journal/251" TargetMode="External"/><Relationship Id="rId108" Type="http://schemas.openxmlformats.org/officeDocument/2006/relationships/hyperlink" Target="https://www.sciencedirect.com/journal/infection-genetics-and-evolution" TargetMode="External"/><Relationship Id="rId124" Type="http://schemas.openxmlformats.org/officeDocument/2006/relationships/hyperlink" Target="https://clinicalepigeneticsjournal.biomedcentral.com/" TargetMode="External"/><Relationship Id="rId129" Type="http://schemas.openxmlformats.org/officeDocument/2006/relationships/hyperlink" Target="https://www.sciencedirect.com/journal/current-opinion-in-genetics-and-development" TargetMode="External"/><Relationship Id="rId54" Type="http://schemas.openxmlformats.org/officeDocument/2006/relationships/hyperlink" Target="https://www.sciencedirect.com/journal/human-immunology" TargetMode="External"/><Relationship Id="rId70" Type="http://schemas.openxmlformats.org/officeDocument/2006/relationships/hyperlink" Target="https://link.springer.com/journal/281" TargetMode="External"/><Relationship Id="rId75" Type="http://schemas.openxmlformats.org/officeDocument/2006/relationships/hyperlink" Target="https://onlinelibrary.wiley.com/journal/1744313X" TargetMode="External"/><Relationship Id="rId91" Type="http://schemas.openxmlformats.org/officeDocument/2006/relationships/hyperlink" Target="https://academic.oup.com/discovimmunology" TargetMode="External"/><Relationship Id="rId96" Type="http://schemas.openxmlformats.org/officeDocument/2006/relationships/hyperlink" Target="https://www.tandfonline.com/journals/iiri20" TargetMode="External"/><Relationship Id="rId140" Type="http://schemas.openxmlformats.org/officeDocument/2006/relationships/hyperlink" Target="https://www.frontiersin.org/journals/genetics" TargetMode="External"/><Relationship Id="rId145" Type="http://schemas.openxmlformats.org/officeDocument/2006/relationships/hyperlink" Target="https://www.sciencedirect.com/journal/gene-reports" TargetMode="External"/><Relationship Id="rId161" Type="http://schemas.openxmlformats.org/officeDocument/2006/relationships/hyperlink" Target="https://www.gmb.org.br/" TargetMode="External"/><Relationship Id="rId166" Type="http://schemas.openxmlformats.org/officeDocument/2006/relationships/hyperlink" Target="https://genomebiology.biomedcentral.com/" TargetMode="External"/><Relationship Id="rId182" Type="http://schemas.openxmlformats.org/officeDocument/2006/relationships/hyperlink" Target="https://www.nature.com/jhg/" TargetMode="External"/><Relationship Id="rId187" Type="http://schemas.openxmlformats.org/officeDocument/2006/relationships/hyperlink" Target="https://molecularcytogenetics.biomedcentral.com/" TargetMode="External"/><Relationship Id="rId1" Type="http://schemas.openxmlformats.org/officeDocument/2006/relationships/hyperlink" Target="https://www.nejm.org/about-nejm/editors-and-publishers" TargetMode="External"/><Relationship Id="rId6" Type="http://schemas.openxmlformats.org/officeDocument/2006/relationships/hyperlink" Target="http://www.bmj.com/about-bmj" TargetMode="External"/><Relationship Id="rId212" Type="http://schemas.openxmlformats.org/officeDocument/2006/relationships/hyperlink" Target="https://www.sciencedirect.com/journal/gene" TargetMode="External"/><Relationship Id="rId23" Type="http://schemas.openxmlformats.org/officeDocument/2006/relationships/hyperlink" Target="https://e-century.us/web/journal.php?journal=ajcei" TargetMode="External"/><Relationship Id="rId28" Type="http://schemas.openxmlformats.org/officeDocument/2006/relationships/hyperlink" Target="https://www.turkishimmunology.org/" TargetMode="External"/><Relationship Id="rId49" Type="http://schemas.openxmlformats.org/officeDocument/2006/relationships/hyperlink" Target="https://journals.lww.com/co-allergy/pages/default.aspx" TargetMode="External"/><Relationship Id="rId114" Type="http://schemas.openxmlformats.org/officeDocument/2006/relationships/hyperlink" Target="https://www.annualreviews.org/content/journals/genom" TargetMode="External"/><Relationship Id="rId119" Type="http://schemas.openxmlformats.org/officeDocument/2006/relationships/hyperlink" Target="https://bmcgenomics.biomedcentral.com/" TargetMode="External"/><Relationship Id="rId44" Type="http://schemas.openxmlformats.org/officeDocument/2006/relationships/hyperlink" Target="https://www.sciencedirect.com/journal/the-journal-of-allergy-and-clinical-immunology-in-practice" TargetMode="External"/><Relationship Id="rId60" Type="http://schemas.openxmlformats.org/officeDocument/2006/relationships/hyperlink" Target="https://www.termedia.pl/Journal/Central_European_Journal_of_nbsp_Immunology-10" TargetMode="External"/><Relationship Id="rId65" Type="http://schemas.openxmlformats.org/officeDocument/2006/relationships/hyperlink" Target="https://immunopathol.com/" TargetMode="External"/><Relationship Id="rId81" Type="http://schemas.openxmlformats.org/officeDocument/2006/relationships/hyperlink" Target="https://www.sciencedirect.com/journal/journal-of-allergy-and-clinical-immunology-global/about/editorial-board" TargetMode="External"/><Relationship Id="rId86" Type="http://schemas.openxmlformats.org/officeDocument/2006/relationships/hyperlink" Target="https://www.omicsonline.org/molecular-immunology.php" TargetMode="External"/><Relationship Id="rId130" Type="http://schemas.openxmlformats.org/officeDocument/2006/relationships/hyperlink" Target="https://currentprotocols.onlinelibrary.wiley.com/journal/19348258" TargetMode="External"/><Relationship Id="rId135" Type="http://schemas.openxmlformats.org/officeDocument/2006/relationships/hyperlink" Target="https://epigeneticsandchromatin.biomedcentral.com/" TargetMode="External"/><Relationship Id="rId151" Type="http://schemas.openxmlformats.org/officeDocument/2006/relationships/hyperlink" Target="https://gsj3.org/ggs/" TargetMode="External"/><Relationship Id="rId156" Type="http://schemas.openxmlformats.org/officeDocument/2006/relationships/hyperlink" Target="https://onlinelibrary.wiley.com/journal/1526968X" TargetMode="External"/><Relationship Id="rId177" Type="http://schemas.openxmlformats.org/officeDocument/2006/relationships/hyperlink" Target="http://krepublishers.com/internationaljournalofhumangenetics.html" TargetMode="External"/><Relationship Id="rId198" Type="http://schemas.openxmlformats.org/officeDocument/2006/relationships/hyperlink" Target="https://www.nature.com/npjgenmed/" TargetMode="External"/><Relationship Id="rId172" Type="http://schemas.openxmlformats.org/officeDocument/2006/relationships/hyperlink" Target="https://link.springer.com/journal/439" TargetMode="External"/><Relationship Id="rId193" Type="http://schemas.openxmlformats.org/officeDocument/2006/relationships/hyperlink" Target="https://www.sciencedirect.com/journal/mutation-research-genetic-toxicology-and-environmental-mutagenesis" TargetMode="External"/><Relationship Id="rId202" Type="http://schemas.openxmlformats.org/officeDocument/2006/relationships/hyperlink" Target="https://www.tandfonline.com/journals/dpgp20/about-this-journal" TargetMode="External"/><Relationship Id="rId207" Type="http://schemas.openxmlformats.org/officeDocument/2006/relationships/hyperlink" Target="https://link.springer.com/journal/122" TargetMode="External"/><Relationship Id="rId13" Type="http://schemas.openxmlformats.org/officeDocument/2006/relationships/hyperlink" Target="https://www.annualreviews.org/content/journals/immunol" TargetMode="External"/><Relationship Id="rId18" Type="http://schemas.openxmlformats.org/officeDocument/2006/relationships/hyperlink" Target="https://home.liebertpub.com/publications/pediatric-allergy-immunology-and-pulmonology/48/overview" TargetMode="External"/><Relationship Id="rId39" Type="http://schemas.openxmlformats.org/officeDocument/2006/relationships/hyperlink" Target="https://onlinelibrary.wiley.com/journal/1607" TargetMode="External"/><Relationship Id="rId109" Type="http://schemas.openxmlformats.org/officeDocument/2006/relationships/hyperlink" Target="https://www.cell.com/ajhg/home" TargetMode="External"/><Relationship Id="rId34" Type="http://schemas.openxmlformats.org/officeDocument/2006/relationships/hyperlink" Target="https://journals.aai.org/jimmunol" TargetMode="External"/><Relationship Id="rId50" Type="http://schemas.openxmlformats.org/officeDocument/2006/relationships/hyperlink" Target="https://www.sciencedirect.com/journal/immunology-and-allergy-clinics-of-north-america" TargetMode="External"/><Relationship Id="rId55" Type="http://schemas.openxmlformats.org/officeDocument/2006/relationships/hyperlink" Target="https://www.sciencedirect.com/journal/transplant-immunology" TargetMode="External"/><Relationship Id="rId76" Type="http://schemas.openxmlformats.org/officeDocument/2006/relationships/hyperlink" Target="https://www.sciencedirect.com/journal/journal-of-immunological-methods" TargetMode="External"/><Relationship Id="rId97" Type="http://schemas.openxmlformats.org/officeDocument/2006/relationships/hyperlink" Target="https://karger.com/IAA/pages/editorial-board" TargetMode="External"/><Relationship Id="rId104" Type="http://schemas.openxmlformats.org/officeDocument/2006/relationships/hyperlink" Target="https://link.springer.com/journal/12026" TargetMode="External"/><Relationship Id="rId120" Type="http://schemas.openxmlformats.org/officeDocument/2006/relationships/hyperlink" Target="https://bmcmedgenomics.biomedcentral.com/" TargetMode="External"/><Relationship Id="rId125" Type="http://schemas.openxmlformats.org/officeDocument/2006/relationships/hyperlink" Target="https://onlinelibrary.wiley.com/journal/13990004" TargetMode="External"/><Relationship Id="rId141" Type="http://schemas.openxmlformats.org/officeDocument/2006/relationships/hyperlink" Target="https://link.springer.com/journal/10142" TargetMode="External"/><Relationship Id="rId146" Type="http://schemas.openxmlformats.org/officeDocument/2006/relationships/hyperlink" Target="https://www.nature.com/gt/" TargetMode="External"/><Relationship Id="rId167" Type="http://schemas.openxmlformats.org/officeDocument/2006/relationships/hyperlink" Target="https://genomemedicine.biomedcentral.com/" TargetMode="External"/><Relationship Id="rId188" Type="http://schemas.openxmlformats.org/officeDocument/2006/relationships/hyperlink" Target="https://onlinelibrary.wiley.com/journal/23249269" TargetMode="External"/><Relationship Id="rId7" Type="http://schemas.openxmlformats.org/officeDocument/2006/relationships/hyperlink" Target="https://annals.org/aim/pages/about-us" TargetMode="External"/><Relationship Id="rId71" Type="http://schemas.openxmlformats.org/officeDocument/2006/relationships/hyperlink" Target="https://onlinelibrary.wiley.com/journal/1600065X" TargetMode="External"/><Relationship Id="rId92" Type="http://schemas.openxmlformats.org/officeDocument/2006/relationships/hyperlink" Target="https://academic.oup.com/immunotherapyadv" TargetMode="External"/><Relationship Id="rId162" Type="http://schemas.openxmlformats.org/officeDocument/2006/relationships/hyperlink" Target="https://geneticsmr.com/" TargetMode="External"/><Relationship Id="rId183" Type="http://schemas.openxmlformats.org/officeDocument/2006/relationships/hyperlink" Target="https://jmg.bmj.com/" TargetMode="External"/><Relationship Id="rId213" Type="http://schemas.openxmlformats.org/officeDocument/2006/relationships/printerSettings" Target="../printerSettings/printerSettings1.bin"/><Relationship Id="rId2" Type="http://schemas.openxmlformats.org/officeDocument/2006/relationships/hyperlink" Target="https://www.thelancet.com/lancet-people" TargetMode="External"/><Relationship Id="rId29" Type="http://schemas.openxmlformats.org/officeDocument/2006/relationships/hyperlink" Target="https://onlinelibrary.wiley.com/journal/14401711" TargetMode="External"/><Relationship Id="rId24" Type="http://schemas.openxmlformats.org/officeDocument/2006/relationships/hyperlink" Target="https://www.eurannallergyimm.com/" TargetMode="External"/><Relationship Id="rId40" Type="http://schemas.openxmlformats.org/officeDocument/2006/relationships/hyperlink" Target="https://www.sciencedirect.com/journal/immunology-letters" TargetMode="External"/><Relationship Id="rId45" Type="http://schemas.openxmlformats.org/officeDocument/2006/relationships/hyperlink" Target="https://link.springer.com/journal/12016" TargetMode="External"/><Relationship Id="rId66" Type="http://schemas.openxmlformats.org/officeDocument/2006/relationships/hyperlink" Target="https://journals.lww.com/immunotherapy-journal/pages/default.aspx" TargetMode="External"/><Relationship Id="rId87" Type="http://schemas.openxmlformats.org/officeDocument/2006/relationships/hyperlink" Target="https://www.longdom.org/clinical-cellular-immunology.html" TargetMode="External"/><Relationship Id="rId110" Type="http://schemas.openxmlformats.org/officeDocument/2006/relationships/hyperlink" Target="https://onlinelibrary.wiley.com/journal/15524833" TargetMode="External"/><Relationship Id="rId115" Type="http://schemas.openxmlformats.org/officeDocument/2006/relationships/hyperlink" Target="https://atlasgeneticsoncology.org/" TargetMode="External"/><Relationship Id="rId131" Type="http://schemas.openxmlformats.org/officeDocument/2006/relationships/hyperlink" Target="https://karger.com/cgr" TargetMode="External"/><Relationship Id="rId136" Type="http://schemas.openxmlformats.org/officeDocument/2006/relationships/hyperlink" Target="https://www.maxapress.com/epi" TargetMode="External"/><Relationship Id="rId157" Type="http://schemas.openxmlformats.org/officeDocument/2006/relationships/hyperlink" Target="https://onlinelibrary.wiley.com/journal/10982272" TargetMode="External"/><Relationship Id="rId178" Type="http://schemas.openxmlformats.org/officeDocument/2006/relationships/hyperlink" Target="https://link.springer.com/journal/13353" TargetMode="External"/><Relationship Id="rId61" Type="http://schemas.openxmlformats.org/officeDocument/2006/relationships/hyperlink" Target="https://www.irdrjournal.com/" TargetMode="External"/><Relationship Id="rId82" Type="http://schemas.openxmlformats.org/officeDocument/2006/relationships/hyperlink" Target="https://www.sciencedirect.com/journal/journal-of-immunology-and-regenerative-medicine" TargetMode="External"/><Relationship Id="rId152" Type="http://schemas.openxmlformats.org/officeDocument/2006/relationships/hyperlink" Target="https://link.springer.com/journal/13258" TargetMode="External"/><Relationship Id="rId173" Type="http://schemas.openxmlformats.org/officeDocument/2006/relationships/hyperlink" Target="https://www.nature.com/hgv/" TargetMode="External"/><Relationship Id="rId194" Type="http://schemas.openxmlformats.org/officeDocument/2006/relationships/hyperlink" Target="https://academic.oup.com/nargab" TargetMode="External"/><Relationship Id="rId199" Type="http://schemas.openxmlformats.org/officeDocument/2006/relationships/hyperlink" Target="https://www.lidsen.com/journals/genetics" TargetMode="External"/><Relationship Id="rId203" Type="http://schemas.openxmlformats.org/officeDocument/2006/relationships/hyperlink" Target="https://www.nature.com/tpj/" TargetMode="External"/><Relationship Id="rId208" Type="http://schemas.openxmlformats.org/officeDocument/2006/relationships/hyperlink" Target="https://www.sciencedirect.com/journal/trends-in-genetics" TargetMode="External"/><Relationship Id="rId19" Type="http://schemas.openxmlformats.org/officeDocument/2006/relationships/hyperlink" Target="https://www.sciencedirect.com/journal/current-opinion-in-immunology" TargetMode="External"/><Relationship Id="rId14" Type="http://schemas.openxmlformats.org/officeDocument/2006/relationships/hyperlink" Target="https://www.nature.com/ni/" TargetMode="External"/><Relationship Id="rId30" Type="http://schemas.openxmlformats.org/officeDocument/2006/relationships/hyperlink" Target="https://academic.oup.com/cei" TargetMode="External"/><Relationship Id="rId35" Type="http://schemas.openxmlformats.org/officeDocument/2006/relationships/hyperlink" Target="https://www.sciencedirect.com/journal/journal-of-allergy-and-clinical-immunology" TargetMode="External"/><Relationship Id="rId56" Type="http://schemas.openxmlformats.org/officeDocument/2006/relationships/hyperlink" Target="https://www.sciencedirect.com/journal/mucosal-immunology" TargetMode="External"/><Relationship Id="rId77" Type="http://schemas.openxmlformats.org/officeDocument/2006/relationships/hyperlink" Target="https://lymphosign.com/about" TargetMode="External"/><Relationship Id="rId100" Type="http://schemas.openxmlformats.org/officeDocument/2006/relationships/hyperlink" Target="https://www.frontierspartnerships.org/journals/journal-of-cutaneous-immunology-and-allergy" TargetMode="External"/><Relationship Id="rId105" Type="http://schemas.openxmlformats.org/officeDocument/2006/relationships/hyperlink" Target="https://ojrd.biomedcentral.com/" TargetMode="External"/><Relationship Id="rId126" Type="http://schemas.openxmlformats.org/officeDocument/2006/relationships/hyperlink" Target="https://www.begellhouse.com/journals/critical-reviews-in-eukaryotic-gene-expression.html" TargetMode="External"/><Relationship Id="rId147" Type="http://schemas.openxmlformats.org/officeDocument/2006/relationships/hyperlink" Target="https://www.mdpi.com/journal/genes" TargetMode="External"/><Relationship Id="rId168" Type="http://schemas.openxmlformats.org/officeDocument/2006/relationships/hyperlink" Target="https://genome.cshlp.org/" TargetMode="External"/><Relationship Id="rId8" Type="http://schemas.openxmlformats.org/officeDocument/2006/relationships/hyperlink" Target="https://www.nature.com/cr/about/editorial-board" TargetMode="External"/><Relationship Id="rId51" Type="http://schemas.openxmlformats.org/officeDocument/2006/relationships/hyperlink" Target="https://onlinelibrary.wiley.com/journal/13480421" TargetMode="External"/><Relationship Id="rId72" Type="http://schemas.openxmlformats.org/officeDocument/2006/relationships/hyperlink" Target="https://journals.sagepub.com/editorial-board/IJI" TargetMode="External"/><Relationship Id="rId93" Type="http://schemas.openxmlformats.org/officeDocument/2006/relationships/hyperlink" Target="https://www.jscholaronline.org/journals/annals-of-immunology-and-cell-biology/" TargetMode="External"/><Relationship Id="rId98" Type="http://schemas.openxmlformats.org/officeDocument/2006/relationships/hyperlink" Target="https://www.sciencedirect.com/journal/developmental-and-comparative-immunology" TargetMode="External"/><Relationship Id="rId121" Type="http://schemas.openxmlformats.org/officeDocument/2006/relationships/hyperlink" Target="https://academic.oup.com/bfg" TargetMode="External"/><Relationship Id="rId142" Type="http://schemas.openxmlformats.org/officeDocument/2006/relationships/hyperlink" Target="https://academic.oup.com/g3journal" TargetMode="External"/><Relationship Id="rId163" Type="http://schemas.openxmlformats.org/officeDocument/2006/relationships/hyperlink" Target="https://www.sciencedirect.com/journal/genetics-in-medicine" TargetMode="External"/><Relationship Id="rId184" Type="http://schemas.openxmlformats.org/officeDocument/2006/relationships/hyperlink" Target="https://www.oaepublish.com/jtgg" TargetMode="External"/><Relationship Id="rId189" Type="http://schemas.openxmlformats.org/officeDocument/2006/relationships/hyperlink" Target="https://link.springer.com/journal/438" TargetMode="External"/><Relationship Id="rId3" Type="http://schemas.openxmlformats.org/officeDocument/2006/relationships/hyperlink" Target="https://www.nature.com/nature/about/editors" TargetMode="External"/><Relationship Id="rId25" Type="http://schemas.openxmlformats.org/officeDocument/2006/relationships/hyperlink" Target="https://onlinelibrary.wiley.com/journal/20500068" TargetMode="External"/><Relationship Id="rId46" Type="http://schemas.openxmlformats.org/officeDocument/2006/relationships/hyperlink" Target="https://www.sciencedirect.com/journal/seminars-in-immunology" TargetMode="External"/><Relationship Id="rId67" Type="http://schemas.openxmlformats.org/officeDocument/2006/relationships/hyperlink" Target="https://www.tandfonline.com/journals/iimy20" TargetMode="External"/><Relationship Id="rId116" Type="http://schemas.openxmlformats.org/officeDocument/2006/relationships/hyperlink" Target="https://link.springer.com/journal/10519" TargetMode="External"/><Relationship Id="rId137" Type="http://schemas.openxmlformats.org/officeDocument/2006/relationships/hyperlink" Target="https://www.tandfonline.com/journals/iepi20" TargetMode="External"/><Relationship Id="rId158" Type="http://schemas.openxmlformats.org/officeDocument/2006/relationships/hyperlink" Target="https://home.liebertpub.com/publications/genetic-testing-and-molecular-biomarkers/18/overview" TargetMode="External"/><Relationship Id="rId20" Type="http://schemas.openxmlformats.org/officeDocument/2006/relationships/hyperlink" Target="https://onlinelibrary.wiley.com/journal/13652567" TargetMode="External"/><Relationship Id="rId41" Type="http://schemas.openxmlformats.org/officeDocument/2006/relationships/hyperlink" Target="https://www.sciencedirect.com/journal/cellular-immunology" TargetMode="External"/><Relationship Id="rId62" Type="http://schemas.openxmlformats.org/officeDocument/2006/relationships/hyperlink" Target="https://www.tandfonline.com/journals/ditt20" TargetMode="External"/><Relationship Id="rId83" Type="http://schemas.openxmlformats.org/officeDocument/2006/relationships/hyperlink" Target="https://onlinelibrary.wiley.com/journal/13989995" TargetMode="External"/><Relationship Id="rId88" Type="http://schemas.openxmlformats.org/officeDocument/2006/relationships/hyperlink" Target="https://www.omicsonline.org/journal-cell-biology-immunology.php" TargetMode="External"/><Relationship Id="rId111" Type="http://schemas.openxmlformats.org/officeDocument/2006/relationships/hyperlink" Target="https://onlinelibrary.wiley.com/journal/15524876" TargetMode="External"/><Relationship Id="rId132" Type="http://schemas.openxmlformats.org/officeDocument/2006/relationships/hyperlink" Target="https://link.springer.com/journal/11956" TargetMode="External"/><Relationship Id="rId153" Type="http://schemas.openxmlformats.org/officeDocument/2006/relationships/hyperlink" Target="https://www.nature.com/gene/" TargetMode="External"/><Relationship Id="rId174" Type="http://schemas.openxmlformats.org/officeDocument/2006/relationships/hyperlink" Target="https://humgenomics.biomedcentral.com/" TargetMode="External"/><Relationship Id="rId179" Type="http://schemas.openxmlformats.org/officeDocument/2006/relationships/hyperlink" Target="https://onlinelibrary.wiley.com/journal/15212254" TargetMode="External"/><Relationship Id="rId195" Type="http://schemas.openxmlformats.org/officeDocument/2006/relationships/hyperlink" Target="https://www.nature.com/ng/" TargetMode="External"/><Relationship Id="rId209" Type="http://schemas.openxmlformats.org/officeDocument/2006/relationships/hyperlink" Target="https://www.cambridge.org/core/journals/twin-research-and-human-genetics" TargetMode="External"/><Relationship Id="rId190" Type="http://schemas.openxmlformats.org/officeDocument/2006/relationships/hyperlink" Target="https://www.sciencedirect.com/journal/molecular-genetics-and-metabolism" TargetMode="External"/><Relationship Id="rId204" Type="http://schemas.openxmlformats.org/officeDocument/2006/relationships/hyperlink" Target="https://journals.physiology.org/physiolgenomics/about" TargetMode="External"/><Relationship Id="rId15" Type="http://schemas.openxmlformats.org/officeDocument/2006/relationships/hyperlink" Target="https://www.science.org/journal/sciimmunol" TargetMode="External"/><Relationship Id="rId36" Type="http://schemas.openxmlformats.org/officeDocument/2006/relationships/hyperlink" Target="https://www.tandfonline.com/journals/ierm20" TargetMode="External"/><Relationship Id="rId57" Type="http://schemas.openxmlformats.org/officeDocument/2006/relationships/hyperlink" Target="https://link.springer.com/journal/10875" TargetMode="External"/><Relationship Id="rId106" Type="http://schemas.openxmlformats.org/officeDocument/2006/relationships/hyperlink" Target="https://www.frontiersin.org/journals/immunology" TargetMode="External"/><Relationship Id="rId127" Type="http://schemas.openxmlformats.org/officeDocument/2006/relationships/hyperlink" Target="https://benthamscience.com/public/journals/current-gene-therapy" TargetMode="External"/><Relationship Id="rId10" Type="http://schemas.openxmlformats.org/officeDocument/2006/relationships/hyperlink" Target="https://journals.plos.org/plosmedicine/s/editorial-board" TargetMode="External"/><Relationship Id="rId31" Type="http://schemas.openxmlformats.org/officeDocument/2006/relationships/hyperlink" Target="https://www.aimspress.com/journal/allergy" TargetMode="External"/><Relationship Id="rId52" Type="http://schemas.openxmlformats.org/officeDocument/2006/relationships/hyperlink" Target="https://sciencedirect.com/journal/comparative-immunology-microbiology-and-infectious-diseases" TargetMode="External"/><Relationship Id="rId73" Type="http://schemas.openxmlformats.org/officeDocument/2006/relationships/hyperlink" Target="https://www.sciencedirect.com/journal/immunobiology" TargetMode="External"/><Relationship Id="rId78" Type="http://schemas.openxmlformats.org/officeDocument/2006/relationships/hyperlink" Target="https://immunenetwork.org/index.php?body=about" TargetMode="External"/><Relationship Id="rId94" Type="http://schemas.openxmlformats.org/officeDocument/2006/relationships/hyperlink" Target="https://canadianallergyandimmunologytoday.com/" TargetMode="External"/><Relationship Id="rId99" Type="http://schemas.openxmlformats.org/officeDocument/2006/relationships/hyperlink" Target="https://www.sciencedirect.com/journal/journal-of-microbiology-immunology-and-infection" TargetMode="External"/><Relationship Id="rId101" Type="http://schemas.openxmlformats.org/officeDocument/2006/relationships/hyperlink" Target="https://link.springer.com/journal/44162" TargetMode="External"/><Relationship Id="rId122" Type="http://schemas.openxmlformats.org/officeDocument/2006/relationships/hyperlink" Target="https://www.cell.com/cell-genomics/home" TargetMode="External"/><Relationship Id="rId143" Type="http://schemas.openxmlformats.org/officeDocument/2006/relationships/hyperlink" Target="https://www.xiahepublishing.com/journal/ge" TargetMode="External"/><Relationship Id="rId148" Type="http://schemas.openxmlformats.org/officeDocument/2006/relationships/hyperlink" Target="https://www.sciencedirect.com/journal/genes-and-diseases" TargetMode="External"/><Relationship Id="rId164" Type="http://schemas.openxmlformats.org/officeDocument/2006/relationships/hyperlink" Target="https://onlinelibrary.wiley.com/journal/gr" TargetMode="External"/><Relationship Id="rId169" Type="http://schemas.openxmlformats.org/officeDocument/2006/relationships/hyperlink" Target="https://www.sciencedirect.com/journal/genomics" TargetMode="External"/><Relationship Id="rId185" Type="http://schemas.openxmlformats.org/officeDocument/2006/relationships/hyperlink" Target="https://link.springer.com/journal/335" TargetMode="External"/><Relationship Id="rId4" Type="http://schemas.openxmlformats.org/officeDocument/2006/relationships/hyperlink" Target="https://www.science.org/journal/science" TargetMode="External"/><Relationship Id="rId9" Type="http://schemas.openxmlformats.org/officeDocument/2006/relationships/hyperlink" Target="https://onlinelibrary.wiley.com/page/journal/1469185x/homepage/editorialboard.html" TargetMode="External"/><Relationship Id="rId180" Type="http://schemas.openxmlformats.org/officeDocument/2006/relationships/hyperlink" Target="https://link.springer.com/journal/12041" TargetMode="External"/><Relationship Id="rId210" Type="http://schemas.openxmlformats.org/officeDocument/2006/relationships/hyperlink" Target="https://www.scielo.br/j/bjg/" TargetMode="External"/><Relationship Id="rId26" Type="http://schemas.openxmlformats.org/officeDocument/2006/relationships/hyperlink" Target="https://akjournals.com/view/journals/1886/1886-overview.xml" TargetMode="External"/><Relationship Id="rId47" Type="http://schemas.openxmlformats.org/officeDocument/2006/relationships/hyperlink" Target="https://bmcimmunol.biomedcentral.com/" TargetMode="External"/><Relationship Id="rId68" Type="http://schemas.openxmlformats.org/officeDocument/2006/relationships/hyperlink" Target="https://link.springer.com/journal/5" TargetMode="External"/><Relationship Id="rId89" Type="http://schemas.openxmlformats.org/officeDocument/2006/relationships/hyperlink" Target="https://raredisorders.imedpub.com/" TargetMode="External"/><Relationship Id="rId112" Type="http://schemas.openxmlformats.org/officeDocument/2006/relationships/hyperlink" Target="https://onlinelibrary.wiley.com/journal/14691809" TargetMode="External"/><Relationship Id="rId133" Type="http://schemas.openxmlformats.org/officeDocument/2006/relationships/hyperlink" Target="https://www.sciencedirect.com/journal/ecological-genetics-and-genomics" TargetMode="External"/><Relationship Id="rId154" Type="http://schemas.openxmlformats.org/officeDocument/2006/relationships/hyperlink" Target="https://onlinelibrary.wiley.com/journal/13652443" TargetMode="External"/><Relationship Id="rId175" Type="http://schemas.openxmlformats.org/officeDocument/2006/relationships/hyperlink" Target="https://academic.oup.com/hmg" TargetMode="External"/><Relationship Id="rId196" Type="http://schemas.openxmlformats.org/officeDocument/2006/relationships/hyperlink" Target="https://www.nature.com/nrg/" TargetMode="External"/><Relationship Id="rId200" Type="http://schemas.openxmlformats.org/officeDocument/2006/relationships/hyperlink" Target="https://journals.lww.com/jpharmacogenetics/pages/default.aspx" TargetMode="External"/><Relationship Id="rId16" Type="http://schemas.openxmlformats.org/officeDocument/2006/relationships/hyperlink" Target="https://www.nature.com/cmi/"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borisclinic.ca/areas-of-care/specialized-services-clinics/allergy-immunology/" TargetMode="External"/><Relationship Id="rId13" Type="http://schemas.openxmlformats.org/officeDocument/2006/relationships/hyperlink" Target="https://allergy.wustl.edu/patient-care/specialty-clinics/pid/" TargetMode="External"/><Relationship Id="rId18" Type="http://schemas.openxmlformats.org/officeDocument/2006/relationships/hyperlink" Target="https://hospitalprivado.com.ar/especialidades-medicas/alergia-e-inmunologia.html" TargetMode="External"/><Relationship Id="rId26" Type="http://schemas.openxmlformats.org/officeDocument/2006/relationships/hyperlink" Target="https://www.auxologico.it/immunologia-allergologia-reumatologia" TargetMode="External"/><Relationship Id="rId3" Type="http://schemas.openxmlformats.org/officeDocument/2006/relationships/hyperlink" Target="https://www.allergyasthma.com.au/" TargetMode="External"/><Relationship Id="rId21" Type="http://schemas.openxmlformats.org/officeDocument/2006/relationships/hyperlink" Target="https://www.swissmedical.net/en/hospitals/montchoisi/specialties/allergology-immunology" TargetMode="External"/><Relationship Id="rId7" Type="http://schemas.openxmlformats.org/officeDocument/2006/relationships/hyperlink" Target="https://www.surreyallergyclinic.ca/" TargetMode="External"/><Relationship Id="rId12" Type="http://schemas.openxmlformats.org/officeDocument/2006/relationships/hyperlink" Target="https://www.londonallergyclinic.com/what-we-do/conditions-treated" TargetMode="External"/><Relationship Id="rId17" Type="http://schemas.openxmlformats.org/officeDocument/2006/relationships/hyperlink" Target="https://www.mariafarerichildrens.org/pulmonology-allergy-and-sleep-medicine" TargetMode="External"/><Relationship Id="rId25" Type="http://schemas.openxmlformats.org/officeDocument/2006/relationships/hyperlink" Target="https://www.gaslini.org/reparti/immunologia-clinica-e-sperimentale/" TargetMode="External"/><Relationship Id="rId2" Type="http://schemas.openxmlformats.org/officeDocument/2006/relationships/hyperlink" Target="https://hillsallergyspecialists.clinic/allergy-and-immunology-consultation/" TargetMode="External"/><Relationship Id="rId16" Type="http://schemas.openxmlformats.org/officeDocument/2006/relationships/hyperlink" Target="https://www.chp.edu/our-services/allergy-immunology/services-centers/primary-immunodeficiency-clinic" TargetMode="External"/><Relationship Id="rId20" Type="http://schemas.openxmlformats.org/officeDocument/2006/relationships/hyperlink" Target="https://www.swissmedical.net/en/hospitals/genolier/specialties/allergology-immunology" TargetMode="External"/><Relationship Id="rId29" Type="http://schemas.openxmlformats.org/officeDocument/2006/relationships/hyperlink" Target="https://bundang.chamc.co.kr/medical/department/PulmonologyAllergy/newsView.cha?bidx=677&amp;bbs=0&amp;rownum=10&amp;part=PLMD&amp;page=1" TargetMode="External"/><Relationship Id="rId1" Type="http://schemas.openxmlformats.org/officeDocument/2006/relationships/hyperlink" Target="https://compass.clinic/services/" TargetMode="External"/><Relationship Id="rId6" Type="http://schemas.openxmlformats.org/officeDocument/2006/relationships/hyperlink" Target="https://www.providencehealthcare.org/en/clinics/primary-immunology-transition-clinic" TargetMode="External"/><Relationship Id="rId11" Type="http://schemas.openxmlformats.org/officeDocument/2006/relationships/hyperlink" Target="https://www.allergycliniclondon.co.uk/allergy-specialist-london/immunology/" TargetMode="External"/><Relationship Id="rId24" Type="http://schemas.openxmlformats.org/officeDocument/2006/relationships/hyperlink" Target="https://pcvmontreal.com/specialites-medicales/allergie" TargetMode="External"/><Relationship Id="rId32" Type="http://schemas.openxmlformats.org/officeDocument/2006/relationships/printerSettings" Target="../printerSettings/printerSettings10.bin"/><Relationship Id="rId5" Type="http://schemas.openxmlformats.org/officeDocument/2006/relationships/hyperlink" Target="https://www.stvincentsclinic.com.au/find-a-doctor/specialties/clinical-immunology" TargetMode="External"/><Relationship Id="rId15" Type="http://schemas.openxmlformats.org/officeDocument/2006/relationships/hyperlink" Target="https://my.clevelandclinic.org/services/immunodeficiency-treatment" TargetMode="External"/><Relationship Id="rId23" Type="http://schemas.openxmlformats.org/officeDocument/2006/relationships/hyperlink" Target="https://www.swissmedical.net/en/hospitals/valere/specialties/allergology-immunology" TargetMode="External"/><Relationship Id="rId28" Type="http://schemas.openxmlformats.org/officeDocument/2006/relationships/hyperlink" Target="https://mjh.or.kr/infant/health/class/immunodeficiency-disease.do" TargetMode="External"/><Relationship Id="rId10" Type="http://schemas.openxmlformats.org/officeDocument/2006/relationships/hyperlink" Target="https://immunodeficiencycenterleipzig.jimdofree.com/" TargetMode="External"/><Relationship Id="rId19" Type="http://schemas.openxmlformats.org/officeDocument/2006/relationships/hyperlink" Target="https://clinicaferraroni.com.br/" TargetMode="External"/><Relationship Id="rId31" Type="http://schemas.openxmlformats.org/officeDocument/2006/relationships/hyperlink" Target="https://www.clinicaderma-alergia.com/inmunodeficiencia" TargetMode="External"/><Relationship Id="rId4" Type="http://schemas.openxmlformats.org/officeDocument/2006/relationships/hyperlink" Target="https://www.allergynewcastle.com.au/services" TargetMode="External"/><Relationship Id="rId9" Type="http://schemas.openxmlformats.org/officeDocument/2006/relationships/hyperlink" Target="https://www.marienhospital-herne.de/fachbereiche/medizinische-klinik-i-allgemeine-innere-nephrologie-gastroenterologie-pneumologie/immundefektambulanz.html" TargetMode="External"/><Relationship Id="rId14" Type="http://schemas.openxmlformats.org/officeDocument/2006/relationships/hyperlink" Target="https://www.carolinaasthma.com/primary-immunodeficiency-diseases/" TargetMode="External"/><Relationship Id="rId22" Type="http://schemas.openxmlformats.org/officeDocument/2006/relationships/hyperlink" Target="https://www.swissmedical.net/de/aerztezentren/oerlikon/fachgebiete/allergologie-immunologie" TargetMode="External"/><Relationship Id="rId27" Type="http://schemas.openxmlformats.org/officeDocument/2006/relationships/hyperlink" Target="https://fujisawatokushukai.jp/department/rheumatism/" TargetMode="External"/><Relationship Id="rId30" Type="http://schemas.openxmlformats.org/officeDocument/2006/relationships/hyperlink" Target="https://www.amc.seoul.kr/asan/healthinfo/disease/diseaseDetail.do?contentId=31815&amp;tabIndex=1"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jrct.niph.go.jp/en-latest-detail/jRCT2031210309" TargetMode="External"/><Relationship Id="rId21" Type="http://schemas.openxmlformats.org/officeDocument/2006/relationships/hyperlink" Target="https://clinicaltrials.gov/study/NCT04370795" TargetMode="External"/><Relationship Id="rId42" Type="http://schemas.openxmlformats.org/officeDocument/2006/relationships/hyperlink" Target="https://clinicaltrials.gov/study/NCT05070455" TargetMode="External"/><Relationship Id="rId63" Type="http://schemas.openxmlformats.org/officeDocument/2006/relationships/hyperlink" Target="https://clinicaltrials.gov/study/NCT06150534" TargetMode="External"/><Relationship Id="rId84" Type="http://schemas.openxmlformats.org/officeDocument/2006/relationships/hyperlink" Target="https://pubmed.ncbi.nlm.nih.gov/35008008" TargetMode="External"/><Relationship Id="rId138" Type="http://schemas.openxmlformats.org/officeDocument/2006/relationships/hyperlink" Target="https://pubmed.ncbi.nlm.nih.gov/31814328" TargetMode="External"/><Relationship Id="rId159" Type="http://schemas.openxmlformats.org/officeDocument/2006/relationships/hyperlink" Target="https://pubmed.ncbi.nlm.nih.gov/35764638" TargetMode="External"/><Relationship Id="rId170" Type="http://schemas.openxmlformats.org/officeDocument/2006/relationships/hyperlink" Target="https://clinicaltrials.gov/study/NCT06519734" TargetMode="External"/><Relationship Id="rId191" Type="http://schemas.openxmlformats.org/officeDocument/2006/relationships/hyperlink" Target="https://clinicaltrials.gov/study/NCT05070455" TargetMode="External"/><Relationship Id="rId205" Type="http://schemas.openxmlformats.org/officeDocument/2006/relationships/hyperlink" Target="https://clinicaltrials.gov/study/NCT04581460" TargetMode="External"/><Relationship Id="rId226" Type="http://schemas.openxmlformats.org/officeDocument/2006/relationships/hyperlink" Target="https://clinicaltrials.gov/study/NCT01196702" TargetMode="External"/><Relationship Id="rId107" Type="http://schemas.openxmlformats.org/officeDocument/2006/relationships/hyperlink" Target="https://pubmed.ncbi.nlm.nih.gov/31572362" TargetMode="External"/><Relationship Id="rId11" Type="http://schemas.openxmlformats.org/officeDocument/2006/relationships/hyperlink" Target="https://clinicaltrials.gov/study/NCT03939533" TargetMode="External"/><Relationship Id="rId32" Type="http://schemas.openxmlformats.org/officeDocument/2006/relationships/hyperlink" Target="https://clinicaltrials.gov/study/NCT04784364" TargetMode="External"/><Relationship Id="rId53" Type="http://schemas.openxmlformats.org/officeDocument/2006/relationships/hyperlink" Target="https://clinicaltrials.gov/study/NCT05593588" TargetMode="External"/><Relationship Id="rId74" Type="http://schemas.openxmlformats.org/officeDocument/2006/relationships/hyperlink" Target="https://pubmed.ncbi.nlm.nih.gov/36818468" TargetMode="External"/><Relationship Id="rId128" Type="http://schemas.openxmlformats.org/officeDocument/2006/relationships/hyperlink" Target="https://drks.de/search/de/trial/DRKS00017736" TargetMode="External"/><Relationship Id="rId149" Type="http://schemas.openxmlformats.org/officeDocument/2006/relationships/hyperlink" Target="https://pubmed.ncbi.nlm.nih.gov/33974038" TargetMode="External"/><Relationship Id="rId5" Type="http://schemas.openxmlformats.org/officeDocument/2006/relationships/hyperlink" Target="https://clinicaltrials.gov/study/NCT03597594" TargetMode="External"/><Relationship Id="rId95" Type="http://schemas.openxmlformats.org/officeDocument/2006/relationships/hyperlink" Target="https://pubmed.ncbi.nlm.nih.gov/33662367" TargetMode="External"/><Relationship Id="rId160" Type="http://schemas.openxmlformats.org/officeDocument/2006/relationships/hyperlink" Target="https://pubmed.ncbi.nlm.nih.gov/35914227" TargetMode="External"/><Relationship Id="rId181" Type="http://schemas.openxmlformats.org/officeDocument/2006/relationships/hyperlink" Target="https://clinicaltrials.gov/study/NCT05999422" TargetMode="External"/><Relationship Id="rId216" Type="http://schemas.openxmlformats.org/officeDocument/2006/relationships/hyperlink" Target="https://clinicaltrials.gov/study/NCT04232085" TargetMode="External"/><Relationship Id="rId237" Type="http://schemas.openxmlformats.org/officeDocument/2006/relationships/hyperlink" Target="https://www.clinicaltrialsregister.eu/ctr-search/trial/2022-001624-14/FR" TargetMode="External"/><Relationship Id="rId22" Type="http://schemas.openxmlformats.org/officeDocument/2006/relationships/hyperlink" Target="https://clinicaltrials.gov/study/NCT04414046" TargetMode="External"/><Relationship Id="rId43" Type="http://schemas.openxmlformats.org/officeDocument/2006/relationships/hyperlink" Target="https://clinicaltrials.gov/study/NCT05071222" TargetMode="External"/><Relationship Id="rId64" Type="http://schemas.openxmlformats.org/officeDocument/2006/relationships/hyperlink" Target="https://clinicaltrials.gov/study/NCT06150833" TargetMode="External"/><Relationship Id="rId118" Type="http://schemas.openxmlformats.org/officeDocument/2006/relationships/hyperlink" Target="https://center6.umin.ac.jp/cgi-open-bin/ctr_e/ctr_view.cgi?recptno=R0000520866" TargetMode="External"/><Relationship Id="rId139" Type="http://schemas.openxmlformats.org/officeDocument/2006/relationships/hyperlink" Target="https://pubmed.ncbi.nlm.nih.gov/31910997" TargetMode="External"/><Relationship Id="rId80" Type="http://schemas.openxmlformats.org/officeDocument/2006/relationships/hyperlink" Target="https://pubmed.ncbi.nlm.nih.gov/35764638" TargetMode="External"/><Relationship Id="rId85" Type="http://schemas.openxmlformats.org/officeDocument/2006/relationships/hyperlink" Target="https://pubmed.ncbi.nlm.nih.gov/34931880" TargetMode="External"/><Relationship Id="rId150" Type="http://schemas.openxmlformats.org/officeDocument/2006/relationships/hyperlink" Target="https://pubmed.ncbi.nlm.nih.gov/34060650" TargetMode="External"/><Relationship Id="rId155" Type="http://schemas.openxmlformats.org/officeDocument/2006/relationships/hyperlink" Target="https://pubmed.ncbi.nlm.nih.gov/35008008" TargetMode="External"/><Relationship Id="rId171" Type="http://schemas.openxmlformats.org/officeDocument/2006/relationships/hyperlink" Target="https://clinicaltrials.gov/study/NCT06355323" TargetMode="External"/><Relationship Id="rId176" Type="http://schemas.openxmlformats.org/officeDocument/2006/relationships/hyperlink" Target="https://clinicaltrials.gov/study/NCT06145100" TargetMode="External"/><Relationship Id="rId192" Type="http://schemas.openxmlformats.org/officeDocument/2006/relationships/hyperlink" Target="https://clinicaltrials.gov/study/NCT05040256" TargetMode="External"/><Relationship Id="rId197" Type="http://schemas.openxmlformats.org/officeDocument/2006/relationships/hyperlink" Target="https://clinicaltrials.gov/study/NCT04902807" TargetMode="External"/><Relationship Id="rId206" Type="http://schemas.openxmlformats.org/officeDocument/2006/relationships/hyperlink" Target="https://clinicaltrials.gov/study/NCT04566692" TargetMode="External"/><Relationship Id="rId227" Type="http://schemas.openxmlformats.org/officeDocument/2006/relationships/hyperlink" Target="https://clinicaltrials.gov/study/NCT04990908" TargetMode="External"/><Relationship Id="rId201" Type="http://schemas.openxmlformats.org/officeDocument/2006/relationships/hyperlink" Target="https://clinicaltrials.gov/study/NCT04784364" TargetMode="External"/><Relationship Id="rId222" Type="http://schemas.openxmlformats.org/officeDocument/2006/relationships/hyperlink" Target="https://clinicaltrials.gov/study/NCT03836690" TargetMode="External"/><Relationship Id="rId12" Type="http://schemas.openxmlformats.org/officeDocument/2006/relationships/hyperlink" Target="https://clinicaltrials.gov/study/NCT04049084" TargetMode="External"/><Relationship Id="rId17" Type="http://schemas.openxmlformats.org/officeDocument/2006/relationships/hyperlink" Target="https://clinicaltrials.gov/study/NCT04339777" TargetMode="External"/><Relationship Id="rId33" Type="http://schemas.openxmlformats.org/officeDocument/2006/relationships/hyperlink" Target="https://clinicaltrials.gov/study/NCT04797260" TargetMode="External"/><Relationship Id="rId38" Type="http://schemas.openxmlformats.org/officeDocument/2006/relationships/hyperlink" Target="https://clinicaltrials.gov/study/NCT04925375" TargetMode="External"/><Relationship Id="rId59" Type="http://schemas.openxmlformats.org/officeDocument/2006/relationships/hyperlink" Target="https://clinicaltrials.gov/study/NCT06076642" TargetMode="External"/><Relationship Id="rId103" Type="http://schemas.openxmlformats.org/officeDocument/2006/relationships/hyperlink" Target="https://pubmed.ncbi.nlm.nih.gov/31921145" TargetMode="External"/><Relationship Id="rId108" Type="http://schemas.openxmlformats.org/officeDocument/2006/relationships/hyperlink" Target="https://pubmed.ncbi.nlm.nih.gov/31445098" TargetMode="External"/><Relationship Id="rId124" Type="http://schemas.openxmlformats.org/officeDocument/2006/relationships/hyperlink" Target="https://drks.de/search/de/trial/DRKS00020522" TargetMode="External"/><Relationship Id="rId129" Type="http://schemas.openxmlformats.org/officeDocument/2006/relationships/hyperlink" Target="https://pubmed.ncbi.nlm.nih.gov/31493539" TargetMode="External"/><Relationship Id="rId54" Type="http://schemas.openxmlformats.org/officeDocument/2006/relationships/hyperlink" Target="https://clinicaltrials.gov/study/NCT05651113" TargetMode="External"/><Relationship Id="rId70" Type="http://schemas.openxmlformats.org/officeDocument/2006/relationships/hyperlink" Target="https://clinicaltrials.gov/study/NCT06565078" TargetMode="External"/><Relationship Id="rId75" Type="http://schemas.openxmlformats.org/officeDocument/2006/relationships/hyperlink" Target="https://pubmed.ncbi.nlm.nih.gov/36399712" TargetMode="External"/><Relationship Id="rId91" Type="http://schemas.openxmlformats.org/officeDocument/2006/relationships/hyperlink" Target="https://pubmed.ncbi.nlm.nih.gov/33876203" TargetMode="External"/><Relationship Id="rId96" Type="http://schemas.openxmlformats.org/officeDocument/2006/relationships/hyperlink" Target="https://pubmed.ncbi.nlm.nih.gov/33409867" TargetMode="External"/><Relationship Id="rId140" Type="http://schemas.openxmlformats.org/officeDocument/2006/relationships/hyperlink" Target="https://pubmed.ncbi.nlm.nih.gov/32603431" TargetMode="External"/><Relationship Id="rId145" Type="http://schemas.openxmlformats.org/officeDocument/2006/relationships/hyperlink" Target="https://pubmed.ncbi.nlm.nih.gov/33738703" TargetMode="External"/><Relationship Id="rId161" Type="http://schemas.openxmlformats.org/officeDocument/2006/relationships/hyperlink" Target="https://pubmed.ncbi.nlm.nih.gov/35944615" TargetMode="External"/><Relationship Id="rId166" Type="http://schemas.openxmlformats.org/officeDocument/2006/relationships/hyperlink" Target="https://pubmed.ncbi.nlm.nih.gov/38972509" TargetMode="External"/><Relationship Id="rId182" Type="http://schemas.openxmlformats.org/officeDocument/2006/relationships/hyperlink" Target="https://clinicaltrials.gov/study/NCT05755035" TargetMode="External"/><Relationship Id="rId187" Type="http://schemas.openxmlformats.org/officeDocument/2006/relationships/hyperlink" Target="https://clinicaltrials.gov/study/NCT05298930" TargetMode="External"/><Relationship Id="rId217" Type="http://schemas.openxmlformats.org/officeDocument/2006/relationships/hyperlink" Target="https://clinicaltrials.gov/study/NCT04197596" TargetMode="External"/><Relationship Id="rId1" Type="http://schemas.openxmlformats.org/officeDocument/2006/relationships/hyperlink" Target="https://clinicaltrials.gov/study/NCT03278912" TargetMode="External"/><Relationship Id="rId6" Type="http://schemas.openxmlformats.org/officeDocument/2006/relationships/hyperlink" Target="https://clinicaltrials.gov/study/NCT03733067" TargetMode="External"/><Relationship Id="rId212" Type="http://schemas.openxmlformats.org/officeDocument/2006/relationships/hyperlink" Target="https://clinicaltrials.gov/study/NCT04356053" TargetMode="External"/><Relationship Id="rId233" Type="http://schemas.openxmlformats.org/officeDocument/2006/relationships/hyperlink" Target="https://clinicaltrials.gov/study/NCT05432310" TargetMode="External"/><Relationship Id="rId238" Type="http://schemas.openxmlformats.org/officeDocument/2006/relationships/printerSettings" Target="../printerSettings/printerSettings2.bin"/><Relationship Id="rId23" Type="http://schemas.openxmlformats.org/officeDocument/2006/relationships/hyperlink" Target="https://clinicaltrials.gov/study/NCT04528355" TargetMode="External"/><Relationship Id="rId28" Type="http://schemas.openxmlformats.org/officeDocument/2006/relationships/hyperlink" Target="https://clinicaltrials.gov/study/NCT04581460" TargetMode="External"/><Relationship Id="rId49" Type="http://schemas.openxmlformats.org/officeDocument/2006/relationships/hyperlink" Target="https://clinicaltrials.gov/study/NCT05438407" TargetMode="External"/><Relationship Id="rId114" Type="http://schemas.openxmlformats.org/officeDocument/2006/relationships/hyperlink" Target="https://drks.de/search/de/trial/DRKS00032712" TargetMode="External"/><Relationship Id="rId119" Type="http://schemas.openxmlformats.org/officeDocument/2006/relationships/hyperlink" Target="https://anzctr.org.au/Trial/Registration/TrialReview.aspx?ACTRN=12621001059853" TargetMode="External"/><Relationship Id="rId44" Type="http://schemas.openxmlformats.org/officeDocument/2006/relationships/hyperlink" Target="https://clinicaltrials.gov/study/NCT05150340" TargetMode="External"/><Relationship Id="rId60" Type="http://schemas.openxmlformats.org/officeDocument/2006/relationships/hyperlink" Target="https://clinicaltrials.gov/study/NCT06089122" TargetMode="External"/><Relationship Id="rId65" Type="http://schemas.openxmlformats.org/officeDocument/2006/relationships/hyperlink" Target="https://clinicaltrials.gov/study/NCT06173128" TargetMode="External"/><Relationship Id="rId81" Type="http://schemas.openxmlformats.org/officeDocument/2006/relationships/hyperlink" Target="https://pubmed.ncbi.nlm.nih.gov/35671392" TargetMode="External"/><Relationship Id="rId86" Type="http://schemas.openxmlformats.org/officeDocument/2006/relationships/hyperlink" Target="https://pubmed.ncbi.nlm.nih.gov/34587873" TargetMode="External"/><Relationship Id="rId130" Type="http://schemas.openxmlformats.org/officeDocument/2006/relationships/hyperlink" Target="https://pubmed.ncbi.nlm.nih.gov/31228628" TargetMode="External"/><Relationship Id="rId135" Type="http://schemas.openxmlformats.org/officeDocument/2006/relationships/hyperlink" Target="https://pubmed.ncbi.nlm.nih.gov/31847720" TargetMode="External"/><Relationship Id="rId151" Type="http://schemas.openxmlformats.org/officeDocument/2006/relationships/hyperlink" Target="https://pubmed.ncbi.nlm.nih.gov/34305948" TargetMode="External"/><Relationship Id="rId156" Type="http://schemas.openxmlformats.org/officeDocument/2006/relationships/hyperlink" Target="https://pubmed.ncbi.nlm.nih.gov/35058929" TargetMode="External"/><Relationship Id="rId177" Type="http://schemas.openxmlformats.org/officeDocument/2006/relationships/hyperlink" Target="https://clinicaltrials.gov/study/NCT06092528" TargetMode="External"/><Relationship Id="rId198" Type="http://schemas.openxmlformats.org/officeDocument/2006/relationships/hyperlink" Target="https://clinicaltrials.gov/study/NCT04864886" TargetMode="External"/><Relationship Id="rId172" Type="http://schemas.openxmlformats.org/officeDocument/2006/relationships/hyperlink" Target="https://clinicaltrials.gov/study/NCT06249997" TargetMode="External"/><Relationship Id="rId193" Type="http://schemas.openxmlformats.org/officeDocument/2006/relationships/hyperlink" Target="https://clinicaltrials.gov/study/NCT04959890" TargetMode="External"/><Relationship Id="rId202" Type="http://schemas.openxmlformats.org/officeDocument/2006/relationships/hyperlink" Target="https://clinicaltrials.gov/study/NCT04702243" TargetMode="External"/><Relationship Id="rId207" Type="http://schemas.openxmlformats.org/officeDocument/2006/relationships/hyperlink" Target="https://clinicaltrials.gov/study/NCT04561115" TargetMode="External"/><Relationship Id="rId223" Type="http://schemas.openxmlformats.org/officeDocument/2006/relationships/hyperlink" Target="https://clinicaltrials.gov/study/NCT03733067" TargetMode="External"/><Relationship Id="rId228" Type="http://schemas.openxmlformats.org/officeDocument/2006/relationships/hyperlink" Target="https://clinicaltrials.gov/study/NCT03278912" TargetMode="External"/><Relationship Id="rId13" Type="http://schemas.openxmlformats.org/officeDocument/2006/relationships/hyperlink" Target="https://clinicaltrials.gov/study/NCT04140539" TargetMode="External"/><Relationship Id="rId18" Type="http://schemas.openxmlformats.org/officeDocument/2006/relationships/hyperlink" Target="https://clinicaltrials.gov/study/NCT04346108" TargetMode="External"/><Relationship Id="rId39" Type="http://schemas.openxmlformats.org/officeDocument/2006/relationships/hyperlink" Target="https://clinicaltrials.gov/study/NCT04944979" TargetMode="External"/><Relationship Id="rId109" Type="http://schemas.openxmlformats.org/officeDocument/2006/relationships/hyperlink" Target="https://pubmed.ncbi.nlm.nih.gov/31228628" TargetMode="External"/><Relationship Id="rId34" Type="http://schemas.openxmlformats.org/officeDocument/2006/relationships/hyperlink" Target="https://clinicaltrials.gov/study/NCT04842643" TargetMode="External"/><Relationship Id="rId50" Type="http://schemas.openxmlformats.org/officeDocument/2006/relationships/hyperlink" Target="https://clinicaltrials.gov/study/NCT05476653" TargetMode="External"/><Relationship Id="rId55" Type="http://schemas.openxmlformats.org/officeDocument/2006/relationships/hyperlink" Target="https://clinicaltrials.gov/study/NCT05693129" TargetMode="External"/><Relationship Id="rId76" Type="http://schemas.openxmlformats.org/officeDocument/2006/relationships/hyperlink" Target="https://pubmed.ncbi.nlm.nih.gov/36546626" TargetMode="External"/><Relationship Id="rId97" Type="http://schemas.openxmlformats.org/officeDocument/2006/relationships/hyperlink" Target="https://pubmed.ncbi.nlm.nih.gov/33223097" TargetMode="External"/><Relationship Id="rId104" Type="http://schemas.openxmlformats.org/officeDocument/2006/relationships/hyperlink" Target="https://pubmed.ncbi.nlm.nih.gov/31847720" TargetMode="External"/><Relationship Id="rId120" Type="http://schemas.openxmlformats.org/officeDocument/2006/relationships/hyperlink" Target="https://anzctr.org.au/Trial/Registration/TrialReview.aspx?ACTRN=12621001059853" TargetMode="External"/><Relationship Id="rId125" Type="http://schemas.openxmlformats.org/officeDocument/2006/relationships/hyperlink" Target="https://drks.de/search/de/trial/DRKS00032712" TargetMode="External"/><Relationship Id="rId141" Type="http://schemas.openxmlformats.org/officeDocument/2006/relationships/hyperlink" Target="https://pubmed.ncbi.nlm.nih.gov/33115853" TargetMode="External"/><Relationship Id="rId146" Type="http://schemas.openxmlformats.org/officeDocument/2006/relationships/hyperlink" Target="https://pubmed.ncbi.nlm.nih.gov/33737935" TargetMode="External"/><Relationship Id="rId167" Type="http://schemas.openxmlformats.org/officeDocument/2006/relationships/hyperlink" Target="https://www.isrctn.com/ISRCTN11859866" TargetMode="External"/><Relationship Id="rId188" Type="http://schemas.openxmlformats.org/officeDocument/2006/relationships/hyperlink" Target="https://clinicaltrials.gov/study/NCT05236764" TargetMode="External"/><Relationship Id="rId7" Type="http://schemas.openxmlformats.org/officeDocument/2006/relationships/hyperlink" Target="https://clinicaltrials.gov/study/NCT03814798" TargetMode="External"/><Relationship Id="rId71" Type="http://schemas.openxmlformats.org/officeDocument/2006/relationships/hyperlink" Target="https://www.isrctn.com/ISRCTN11859866" TargetMode="External"/><Relationship Id="rId92" Type="http://schemas.openxmlformats.org/officeDocument/2006/relationships/hyperlink" Target="https://pubmed.ncbi.nlm.nih.gov/33855675" TargetMode="External"/><Relationship Id="rId162" Type="http://schemas.openxmlformats.org/officeDocument/2006/relationships/hyperlink" Target="https://pubmed.ncbi.nlm.nih.gov/36128795" TargetMode="External"/><Relationship Id="rId183" Type="http://schemas.openxmlformats.org/officeDocument/2006/relationships/hyperlink" Target="https://clinicaltrials.gov/study/NCT05651113" TargetMode="External"/><Relationship Id="rId213" Type="http://schemas.openxmlformats.org/officeDocument/2006/relationships/hyperlink" Target="https://clinicaltrials.gov/study/NCT04354129" TargetMode="External"/><Relationship Id="rId218" Type="http://schemas.openxmlformats.org/officeDocument/2006/relationships/hyperlink" Target="https://clinicaltrials.gov/study/NCT04049084" TargetMode="External"/><Relationship Id="rId234" Type="http://schemas.openxmlformats.org/officeDocument/2006/relationships/hyperlink" Target="https://clinicaltrials.gov/study/NCT05438407" TargetMode="External"/><Relationship Id="rId2" Type="http://schemas.openxmlformats.org/officeDocument/2006/relationships/hyperlink" Target="https://clinicaltrials.gov/study/NCT04990908" TargetMode="External"/><Relationship Id="rId29" Type="http://schemas.openxmlformats.org/officeDocument/2006/relationships/hyperlink" Target="https://clinicaltrials.gov/study/NCT04640142" TargetMode="External"/><Relationship Id="rId24" Type="http://schemas.openxmlformats.org/officeDocument/2006/relationships/hyperlink" Target="https://clinicaltrials.gov/study/NCT04554914" TargetMode="External"/><Relationship Id="rId40" Type="http://schemas.openxmlformats.org/officeDocument/2006/relationships/hyperlink" Target="https://clinicaltrials.gov/study/NCT04959890" TargetMode="External"/><Relationship Id="rId45" Type="http://schemas.openxmlformats.org/officeDocument/2006/relationships/hyperlink" Target="https://clinicaltrials.gov/study/NCT05193552" TargetMode="External"/><Relationship Id="rId66" Type="http://schemas.openxmlformats.org/officeDocument/2006/relationships/hyperlink" Target="https://clinicaltrials.gov/study/NCT06249997" TargetMode="External"/><Relationship Id="rId87" Type="http://schemas.openxmlformats.org/officeDocument/2006/relationships/hyperlink" Target="https://pubmed.ncbi.nlm.nih.gov/34599947" TargetMode="External"/><Relationship Id="rId110" Type="http://schemas.openxmlformats.org/officeDocument/2006/relationships/hyperlink" Target="https://pubmed.ncbi.nlm.nih.gov/31493539" TargetMode="External"/><Relationship Id="rId115" Type="http://schemas.openxmlformats.org/officeDocument/2006/relationships/hyperlink" Target="https://drks.de/search/de/trial/DRKS00020522" TargetMode="External"/><Relationship Id="rId131" Type="http://schemas.openxmlformats.org/officeDocument/2006/relationships/hyperlink" Target="https://pubmed.ncbi.nlm.nih.gov/31445098" TargetMode="External"/><Relationship Id="rId136" Type="http://schemas.openxmlformats.org/officeDocument/2006/relationships/hyperlink" Target="https://pubmed.ncbi.nlm.nih.gov/31921145" TargetMode="External"/><Relationship Id="rId157" Type="http://schemas.openxmlformats.org/officeDocument/2006/relationships/hyperlink" Target="https://pubmed.ncbi.nlm.nih.gov/35121105" TargetMode="External"/><Relationship Id="rId178" Type="http://schemas.openxmlformats.org/officeDocument/2006/relationships/hyperlink" Target="https://clinicaltrials.gov/study/NCT06089122" TargetMode="External"/><Relationship Id="rId61" Type="http://schemas.openxmlformats.org/officeDocument/2006/relationships/hyperlink" Target="https://clinicaltrials.gov/study/NCT06092528" TargetMode="External"/><Relationship Id="rId82" Type="http://schemas.openxmlformats.org/officeDocument/2006/relationships/hyperlink" Target="https://pubmed.ncbi.nlm.nih.gov/35121105" TargetMode="External"/><Relationship Id="rId152" Type="http://schemas.openxmlformats.org/officeDocument/2006/relationships/hyperlink" Target="https://pubmed.ncbi.nlm.nih.gov/34599947" TargetMode="External"/><Relationship Id="rId173" Type="http://schemas.openxmlformats.org/officeDocument/2006/relationships/hyperlink" Target="https://clinicaltrials.gov/study/NCT06173128" TargetMode="External"/><Relationship Id="rId194" Type="http://schemas.openxmlformats.org/officeDocument/2006/relationships/hyperlink" Target="https://clinicaltrials.gov/study/NCT04944979" TargetMode="External"/><Relationship Id="rId199" Type="http://schemas.openxmlformats.org/officeDocument/2006/relationships/hyperlink" Target="https://clinicaltrials.gov/study/NCT04842643" TargetMode="External"/><Relationship Id="rId203" Type="http://schemas.openxmlformats.org/officeDocument/2006/relationships/hyperlink" Target="https://clinicaltrials.gov/study/NCT04691622" TargetMode="External"/><Relationship Id="rId208" Type="http://schemas.openxmlformats.org/officeDocument/2006/relationships/hyperlink" Target="https://clinicaltrials.gov/study/NCT04554914" TargetMode="External"/><Relationship Id="rId229" Type="http://schemas.openxmlformats.org/officeDocument/2006/relationships/hyperlink" Target="https://clinicaltrials.gov/study/NCT04140539" TargetMode="External"/><Relationship Id="rId19" Type="http://schemas.openxmlformats.org/officeDocument/2006/relationships/hyperlink" Target="https://clinicaltrials.gov/study/NCT04354129" TargetMode="External"/><Relationship Id="rId224" Type="http://schemas.openxmlformats.org/officeDocument/2006/relationships/hyperlink" Target="https://clinicaltrials.gov/study/NCT03597594" TargetMode="External"/><Relationship Id="rId14" Type="http://schemas.openxmlformats.org/officeDocument/2006/relationships/hyperlink" Target="https://clinicaltrials.gov/study/NCT04197596" TargetMode="External"/><Relationship Id="rId30" Type="http://schemas.openxmlformats.org/officeDocument/2006/relationships/hyperlink" Target="https://clinicaltrials.gov/study/NCT04691622" TargetMode="External"/><Relationship Id="rId35" Type="http://schemas.openxmlformats.org/officeDocument/2006/relationships/hyperlink" Target="https://clinicaltrials.gov/study/NCT04864886" TargetMode="External"/><Relationship Id="rId56" Type="http://schemas.openxmlformats.org/officeDocument/2006/relationships/hyperlink" Target="https://clinicaltrials.gov/study/NCT05755035" TargetMode="External"/><Relationship Id="rId77" Type="http://schemas.openxmlformats.org/officeDocument/2006/relationships/hyperlink" Target="https://pubmed.ncbi.nlm.nih.gov/36128795" TargetMode="External"/><Relationship Id="rId100" Type="http://schemas.openxmlformats.org/officeDocument/2006/relationships/hyperlink" Target="https://pubmed.ncbi.nlm.nih.gov/31910997" TargetMode="External"/><Relationship Id="rId105" Type="http://schemas.openxmlformats.org/officeDocument/2006/relationships/hyperlink" Target="https://pubmed.ncbi.nlm.nih.gov/31689275" TargetMode="External"/><Relationship Id="rId126" Type="http://schemas.openxmlformats.org/officeDocument/2006/relationships/hyperlink" Target="https://drks.de/search/de/trial/DRKS00034189" TargetMode="External"/><Relationship Id="rId147" Type="http://schemas.openxmlformats.org/officeDocument/2006/relationships/hyperlink" Target="https://pubmed.ncbi.nlm.nih.gov/33855675" TargetMode="External"/><Relationship Id="rId168" Type="http://schemas.openxmlformats.org/officeDocument/2006/relationships/hyperlink" Target="https://clinicaltrials.gov/study/NCT06565078" TargetMode="External"/><Relationship Id="rId8" Type="http://schemas.openxmlformats.org/officeDocument/2006/relationships/hyperlink" Target="https://clinicaltrials.gov/study/NCT03836690" TargetMode="External"/><Relationship Id="rId51" Type="http://schemas.openxmlformats.org/officeDocument/2006/relationships/hyperlink" Target="https://clinicaltrials.gov/study/NCT05481554" TargetMode="External"/><Relationship Id="rId72" Type="http://schemas.openxmlformats.org/officeDocument/2006/relationships/hyperlink" Target="https://www.clinicaltrialsregister.eu/ctr-search/trial/2022-001624-14/FR" TargetMode="External"/><Relationship Id="rId93" Type="http://schemas.openxmlformats.org/officeDocument/2006/relationships/hyperlink" Target="https://pubmed.ncbi.nlm.nih.gov/33737935" TargetMode="External"/><Relationship Id="rId98" Type="http://schemas.openxmlformats.org/officeDocument/2006/relationships/hyperlink" Target="https://pubmed.ncbi.nlm.nih.gov/33115853" TargetMode="External"/><Relationship Id="rId121" Type="http://schemas.openxmlformats.org/officeDocument/2006/relationships/hyperlink" Target="https://center6.umin.ac.jp/cgi-open-bin/ctr_e/ctr_view.cgi?recptno=R0000520866" TargetMode="External"/><Relationship Id="rId142" Type="http://schemas.openxmlformats.org/officeDocument/2006/relationships/hyperlink" Target="https://pubmed.ncbi.nlm.nih.gov/33223097" TargetMode="External"/><Relationship Id="rId163" Type="http://schemas.openxmlformats.org/officeDocument/2006/relationships/hyperlink" Target="https://pubmed.ncbi.nlm.nih.gov/36546626" TargetMode="External"/><Relationship Id="rId184" Type="http://schemas.openxmlformats.org/officeDocument/2006/relationships/hyperlink" Target="https://clinicaltrials.gov/study/NCT05593588" TargetMode="External"/><Relationship Id="rId189" Type="http://schemas.openxmlformats.org/officeDocument/2006/relationships/hyperlink" Target="https://clinicaltrials.gov/study/NCT05193552" TargetMode="External"/><Relationship Id="rId219" Type="http://schemas.openxmlformats.org/officeDocument/2006/relationships/hyperlink" Target="https://clinicaltrials.gov/study/NCT03939533" TargetMode="External"/><Relationship Id="rId3" Type="http://schemas.openxmlformats.org/officeDocument/2006/relationships/hyperlink" Target="https://clinicaltrials.gov/study/NCT01196702" TargetMode="External"/><Relationship Id="rId214" Type="http://schemas.openxmlformats.org/officeDocument/2006/relationships/hyperlink" Target="https://clinicaltrials.gov/study/NCT04339777" TargetMode="External"/><Relationship Id="rId230" Type="http://schemas.openxmlformats.org/officeDocument/2006/relationships/hyperlink" Target="https://clinicaltrials.gov/study/NCT04346108" TargetMode="External"/><Relationship Id="rId235" Type="http://schemas.openxmlformats.org/officeDocument/2006/relationships/hyperlink" Target="https://clinicaltrials.gov/study/NCT05476653" TargetMode="External"/><Relationship Id="rId25" Type="http://schemas.openxmlformats.org/officeDocument/2006/relationships/hyperlink" Target="https://clinicaltrials.gov/study/NCT04561115" TargetMode="External"/><Relationship Id="rId46" Type="http://schemas.openxmlformats.org/officeDocument/2006/relationships/hyperlink" Target="https://clinicaltrials.gov/study/NCT05236764" TargetMode="External"/><Relationship Id="rId67" Type="http://schemas.openxmlformats.org/officeDocument/2006/relationships/hyperlink" Target="https://clinicaltrials.gov/study/NCT06355323" TargetMode="External"/><Relationship Id="rId116" Type="http://schemas.openxmlformats.org/officeDocument/2006/relationships/hyperlink" Target="https://jrct.niph.go.jp/en-latest-detail/jRCTs031230296" TargetMode="External"/><Relationship Id="rId137" Type="http://schemas.openxmlformats.org/officeDocument/2006/relationships/hyperlink" Target="https://pubmed.ncbi.nlm.nih.gov/31629014" TargetMode="External"/><Relationship Id="rId158" Type="http://schemas.openxmlformats.org/officeDocument/2006/relationships/hyperlink" Target="https://pubmed.ncbi.nlm.nih.gov/35671392" TargetMode="External"/><Relationship Id="rId20" Type="http://schemas.openxmlformats.org/officeDocument/2006/relationships/hyperlink" Target="https://clinicaltrials.gov/study/NCT04356053" TargetMode="External"/><Relationship Id="rId41" Type="http://schemas.openxmlformats.org/officeDocument/2006/relationships/hyperlink" Target="https://clinicaltrials.gov/study/NCT05040256" TargetMode="External"/><Relationship Id="rId62" Type="http://schemas.openxmlformats.org/officeDocument/2006/relationships/hyperlink" Target="https://clinicaltrials.gov/study/NCT06145100" TargetMode="External"/><Relationship Id="rId83" Type="http://schemas.openxmlformats.org/officeDocument/2006/relationships/hyperlink" Target="https://pubmed.ncbi.nlm.nih.gov/35058929" TargetMode="External"/><Relationship Id="rId88" Type="http://schemas.openxmlformats.org/officeDocument/2006/relationships/hyperlink" Target="https://pubmed.ncbi.nlm.nih.gov/34305948" TargetMode="External"/><Relationship Id="rId111" Type="http://schemas.openxmlformats.org/officeDocument/2006/relationships/hyperlink" Target="https://drks.de/search/de/trial/DRKS00017736" TargetMode="External"/><Relationship Id="rId132" Type="http://schemas.openxmlformats.org/officeDocument/2006/relationships/hyperlink" Target="https://pubmed.ncbi.nlm.nih.gov/31572362" TargetMode="External"/><Relationship Id="rId153" Type="http://schemas.openxmlformats.org/officeDocument/2006/relationships/hyperlink" Target="https://pubmed.ncbi.nlm.nih.gov/34587873" TargetMode="External"/><Relationship Id="rId174" Type="http://schemas.openxmlformats.org/officeDocument/2006/relationships/hyperlink" Target="https://clinicaltrials.gov/study/NCT06150833" TargetMode="External"/><Relationship Id="rId179" Type="http://schemas.openxmlformats.org/officeDocument/2006/relationships/hyperlink" Target="https://clinicaltrials.gov/study/NCT06076642" TargetMode="External"/><Relationship Id="rId195" Type="http://schemas.openxmlformats.org/officeDocument/2006/relationships/hyperlink" Target="https://clinicaltrials.gov/study/NCT04925375" TargetMode="External"/><Relationship Id="rId209" Type="http://schemas.openxmlformats.org/officeDocument/2006/relationships/hyperlink" Target="https://clinicaltrials.gov/study/NCT04528355" TargetMode="External"/><Relationship Id="rId190" Type="http://schemas.openxmlformats.org/officeDocument/2006/relationships/hyperlink" Target="https://clinicaltrials.gov/study/NCT05150340" TargetMode="External"/><Relationship Id="rId204" Type="http://schemas.openxmlformats.org/officeDocument/2006/relationships/hyperlink" Target="https://clinicaltrials.gov/study/NCT04640142" TargetMode="External"/><Relationship Id="rId220" Type="http://schemas.openxmlformats.org/officeDocument/2006/relationships/hyperlink" Target="https://clinicaltrials.gov/study/NCT03879876" TargetMode="External"/><Relationship Id="rId225" Type="http://schemas.openxmlformats.org/officeDocument/2006/relationships/hyperlink" Target="https://clinicaltrials.gov/study/NCT03266653" TargetMode="External"/><Relationship Id="rId15" Type="http://schemas.openxmlformats.org/officeDocument/2006/relationships/hyperlink" Target="https://clinicaltrials.gov/study/NCT04232085" TargetMode="External"/><Relationship Id="rId36" Type="http://schemas.openxmlformats.org/officeDocument/2006/relationships/hyperlink" Target="https://clinicaltrials.gov/study/NCT04902807" TargetMode="External"/><Relationship Id="rId57" Type="http://schemas.openxmlformats.org/officeDocument/2006/relationships/hyperlink" Target="https://clinicaltrials.gov/study/NCT05999422" TargetMode="External"/><Relationship Id="rId106" Type="http://schemas.openxmlformats.org/officeDocument/2006/relationships/hyperlink" Target="https://pubmed.ncbi.nlm.nih.gov/31621458" TargetMode="External"/><Relationship Id="rId127" Type="http://schemas.openxmlformats.org/officeDocument/2006/relationships/hyperlink" Target="https://drks.de/search/de/trial/DRKS00027556" TargetMode="External"/><Relationship Id="rId10" Type="http://schemas.openxmlformats.org/officeDocument/2006/relationships/hyperlink" Target="https://clinicaltrials.gov/study/NCT03879876" TargetMode="External"/><Relationship Id="rId31" Type="http://schemas.openxmlformats.org/officeDocument/2006/relationships/hyperlink" Target="https://clinicaltrials.gov/study/NCT04702243" TargetMode="External"/><Relationship Id="rId52" Type="http://schemas.openxmlformats.org/officeDocument/2006/relationships/hyperlink" Target="https://clinicaltrials.gov/study/NCT05513586" TargetMode="External"/><Relationship Id="rId73" Type="http://schemas.openxmlformats.org/officeDocument/2006/relationships/hyperlink" Target="https://pubmed.ncbi.nlm.nih.gov/38972509" TargetMode="External"/><Relationship Id="rId78" Type="http://schemas.openxmlformats.org/officeDocument/2006/relationships/hyperlink" Target="https://pubmed.ncbi.nlm.nih.gov/35944615" TargetMode="External"/><Relationship Id="rId94" Type="http://schemas.openxmlformats.org/officeDocument/2006/relationships/hyperlink" Target="https://pubmed.ncbi.nlm.nih.gov/33738703" TargetMode="External"/><Relationship Id="rId99" Type="http://schemas.openxmlformats.org/officeDocument/2006/relationships/hyperlink" Target="https://pubmed.ncbi.nlm.nih.gov/32603431" TargetMode="External"/><Relationship Id="rId101" Type="http://schemas.openxmlformats.org/officeDocument/2006/relationships/hyperlink" Target="https://pubmed.ncbi.nlm.nih.gov/31814328" TargetMode="External"/><Relationship Id="rId122" Type="http://schemas.openxmlformats.org/officeDocument/2006/relationships/hyperlink" Target="https://jrct.niph.go.jp/en-latest-detail/jRCT2031210309" TargetMode="External"/><Relationship Id="rId143" Type="http://schemas.openxmlformats.org/officeDocument/2006/relationships/hyperlink" Target="https://pubmed.ncbi.nlm.nih.gov/33409867" TargetMode="External"/><Relationship Id="rId148" Type="http://schemas.openxmlformats.org/officeDocument/2006/relationships/hyperlink" Target="https://pubmed.ncbi.nlm.nih.gov/33876203" TargetMode="External"/><Relationship Id="rId164" Type="http://schemas.openxmlformats.org/officeDocument/2006/relationships/hyperlink" Target="https://pubmed.ncbi.nlm.nih.gov/36399712" TargetMode="External"/><Relationship Id="rId169" Type="http://schemas.openxmlformats.org/officeDocument/2006/relationships/hyperlink" Target="https://clinicaltrials.gov/study/NCT06549114" TargetMode="External"/><Relationship Id="rId185" Type="http://schemas.openxmlformats.org/officeDocument/2006/relationships/hyperlink" Target="https://clinicaltrials.gov/study/NCT05513586" TargetMode="External"/><Relationship Id="rId4" Type="http://schemas.openxmlformats.org/officeDocument/2006/relationships/hyperlink" Target="https://clinicaltrials.gov/study/NCT03266653" TargetMode="External"/><Relationship Id="rId9" Type="http://schemas.openxmlformats.org/officeDocument/2006/relationships/hyperlink" Target="https://clinicaltrials.gov/study/NCT03866538" TargetMode="External"/><Relationship Id="rId180" Type="http://schemas.openxmlformats.org/officeDocument/2006/relationships/hyperlink" Target="https://clinicaltrials.gov/study/NCT06014463" TargetMode="External"/><Relationship Id="rId210" Type="http://schemas.openxmlformats.org/officeDocument/2006/relationships/hyperlink" Target="https://clinicaltrials.gov/study/NCT04414046" TargetMode="External"/><Relationship Id="rId215" Type="http://schemas.openxmlformats.org/officeDocument/2006/relationships/hyperlink" Target="https://clinicaltrials.gov/study/NCT04246840" TargetMode="External"/><Relationship Id="rId236" Type="http://schemas.openxmlformats.org/officeDocument/2006/relationships/hyperlink" Target="https://clinicaltrials.gov/study/NCT05693129" TargetMode="External"/><Relationship Id="rId26" Type="http://schemas.openxmlformats.org/officeDocument/2006/relationships/hyperlink" Target="https://clinicaltrials.gov/study/NCT04565015" TargetMode="External"/><Relationship Id="rId231" Type="http://schemas.openxmlformats.org/officeDocument/2006/relationships/hyperlink" Target="https://clinicaltrials.gov/study/NCT04565015" TargetMode="External"/><Relationship Id="rId47" Type="http://schemas.openxmlformats.org/officeDocument/2006/relationships/hyperlink" Target="https://clinicaltrials.gov/study/NCT05298930" TargetMode="External"/><Relationship Id="rId68" Type="http://schemas.openxmlformats.org/officeDocument/2006/relationships/hyperlink" Target="https://clinicaltrials.gov/study/NCT06519734" TargetMode="External"/><Relationship Id="rId89" Type="http://schemas.openxmlformats.org/officeDocument/2006/relationships/hyperlink" Target="https://pubmed.ncbi.nlm.nih.gov/34060650" TargetMode="External"/><Relationship Id="rId112" Type="http://schemas.openxmlformats.org/officeDocument/2006/relationships/hyperlink" Target="https://drks.de/search/de/trial/DRKS00027556" TargetMode="External"/><Relationship Id="rId133" Type="http://schemas.openxmlformats.org/officeDocument/2006/relationships/hyperlink" Target="https://pubmed.ncbi.nlm.nih.gov/31621458" TargetMode="External"/><Relationship Id="rId154" Type="http://schemas.openxmlformats.org/officeDocument/2006/relationships/hyperlink" Target="https://pubmed.ncbi.nlm.nih.gov/34931880" TargetMode="External"/><Relationship Id="rId175" Type="http://schemas.openxmlformats.org/officeDocument/2006/relationships/hyperlink" Target="https://clinicaltrials.gov/study/NCT06150534" TargetMode="External"/><Relationship Id="rId196" Type="http://schemas.openxmlformats.org/officeDocument/2006/relationships/hyperlink" Target="https://clinicaltrials.gov/study/NCT04919018" TargetMode="External"/><Relationship Id="rId200" Type="http://schemas.openxmlformats.org/officeDocument/2006/relationships/hyperlink" Target="https://clinicaltrials.gov/study/NCT04797260" TargetMode="External"/><Relationship Id="rId16" Type="http://schemas.openxmlformats.org/officeDocument/2006/relationships/hyperlink" Target="https://clinicaltrials.gov/study/NCT04246840" TargetMode="External"/><Relationship Id="rId221" Type="http://schemas.openxmlformats.org/officeDocument/2006/relationships/hyperlink" Target="https://clinicaltrials.gov/study/NCT03866538" TargetMode="External"/><Relationship Id="rId37" Type="http://schemas.openxmlformats.org/officeDocument/2006/relationships/hyperlink" Target="https://clinicaltrials.gov/study/NCT04919018" TargetMode="External"/><Relationship Id="rId58" Type="http://schemas.openxmlformats.org/officeDocument/2006/relationships/hyperlink" Target="https://clinicaltrials.gov/study/NCT06014463" TargetMode="External"/><Relationship Id="rId79" Type="http://schemas.openxmlformats.org/officeDocument/2006/relationships/hyperlink" Target="https://pubmed.ncbi.nlm.nih.gov/35914227" TargetMode="External"/><Relationship Id="rId102" Type="http://schemas.openxmlformats.org/officeDocument/2006/relationships/hyperlink" Target="https://pubmed.ncbi.nlm.nih.gov/31629014" TargetMode="External"/><Relationship Id="rId123" Type="http://schemas.openxmlformats.org/officeDocument/2006/relationships/hyperlink" Target="https://jrct.niph.go.jp/en-latest-detail/jRCTs031230296" TargetMode="External"/><Relationship Id="rId144" Type="http://schemas.openxmlformats.org/officeDocument/2006/relationships/hyperlink" Target="https://pubmed.ncbi.nlm.nih.gov/33662367" TargetMode="External"/><Relationship Id="rId90" Type="http://schemas.openxmlformats.org/officeDocument/2006/relationships/hyperlink" Target="https://pubmed.ncbi.nlm.nih.gov/33974038" TargetMode="External"/><Relationship Id="rId165" Type="http://schemas.openxmlformats.org/officeDocument/2006/relationships/hyperlink" Target="https://pubmed.ncbi.nlm.nih.gov/36818468" TargetMode="External"/><Relationship Id="rId186" Type="http://schemas.openxmlformats.org/officeDocument/2006/relationships/hyperlink" Target="https://clinicaltrials.gov/study/NCT05481554" TargetMode="External"/><Relationship Id="rId211" Type="http://schemas.openxmlformats.org/officeDocument/2006/relationships/hyperlink" Target="https://clinicaltrials.gov/study/NCT04370795" TargetMode="External"/><Relationship Id="rId232" Type="http://schemas.openxmlformats.org/officeDocument/2006/relationships/hyperlink" Target="https://clinicaltrials.gov/study/NCT05071222" TargetMode="External"/><Relationship Id="rId27" Type="http://schemas.openxmlformats.org/officeDocument/2006/relationships/hyperlink" Target="https://clinicaltrials.gov/study/NCT04566692" TargetMode="External"/><Relationship Id="rId48" Type="http://schemas.openxmlformats.org/officeDocument/2006/relationships/hyperlink" Target="https://clinicaltrials.gov/study/NCT05432310" TargetMode="External"/><Relationship Id="rId69" Type="http://schemas.openxmlformats.org/officeDocument/2006/relationships/hyperlink" Target="https://clinicaltrials.gov/study/NCT06549114" TargetMode="External"/><Relationship Id="rId113" Type="http://schemas.openxmlformats.org/officeDocument/2006/relationships/hyperlink" Target="https://drks.de/search/de/trial/DRKS00034189" TargetMode="External"/><Relationship Id="rId134" Type="http://schemas.openxmlformats.org/officeDocument/2006/relationships/hyperlink" Target="https://pubmed.ncbi.nlm.nih.gov/31689275"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elsevier.es/en-revista-allergologia-et-immunopathologia-105-linkresolver-critical-issues-needs-in-management-S0301054610002387" TargetMode="External"/><Relationship Id="rId18" Type="http://schemas.openxmlformats.org/officeDocument/2006/relationships/hyperlink" Target="https://www.sap.org.ar/docs/publicaciones/archivosarg/2023/v121n1a23.pdf" TargetMode="External"/><Relationship Id="rId26" Type="http://schemas.openxmlformats.org/officeDocument/2006/relationships/hyperlink" Target="https://revistaalergia.mx/ojs/index.php/ram/article/download/300/458?inline=1" TargetMode="External"/><Relationship Id="rId39" Type="http://schemas.openxmlformats.org/officeDocument/2006/relationships/hyperlink" Target="https://academic.oup.com/cei/article/210/1/1/6655640" TargetMode="External"/><Relationship Id="rId3" Type="http://schemas.openxmlformats.org/officeDocument/2006/relationships/hyperlink" Target="https://www.sciencedirect.com/science/article/abs/pii/S152166169994799X?via%3Dihub" TargetMode="External"/><Relationship Id="rId21" Type="http://schemas.openxmlformats.org/officeDocument/2006/relationships/hyperlink" Target="https://www.rch.org.au/clinicalguide/guideline_index/Primary_immunodeficiencies/" TargetMode="External"/><Relationship Id="rId34" Type="http://schemas.openxmlformats.org/officeDocument/2006/relationships/hyperlink" Target="https://www.jstct.or.jp/uploads/files/guideline/02_08_pidj.pdf" TargetMode="External"/><Relationship Id="rId42" Type="http://schemas.openxmlformats.org/officeDocument/2006/relationships/hyperlink" Target="https://www.nice.org.uk/guidance/hst7/resources/strimvelis-for-treating-adenosine-deaminase-deficiencysevere-combined-immunodeficiency-pdf-1394905926085" TargetMode="External"/><Relationship Id="rId47" Type="http://schemas.openxmlformats.org/officeDocument/2006/relationships/hyperlink" Target="https://pubmed.ncbi.nlm.nih.gov/27454438/" TargetMode="External"/><Relationship Id="rId50" Type="http://schemas.openxmlformats.org/officeDocument/2006/relationships/hyperlink" Target="https://www.acpjournals.org/doi/full/10.7326/0003-4819-130-7-199904060-00020" TargetMode="External"/><Relationship Id="rId7" Type="http://schemas.openxmlformats.org/officeDocument/2006/relationships/hyperlink" Target="https://ipopi.org/wp-content/uploads/2017/08/IPOPI-Principles-of-Care-Implementation-Package_web.pdf" TargetMode="External"/><Relationship Id="rId12" Type="http://schemas.openxmlformats.org/officeDocument/2006/relationships/hyperlink" Target="https://pubmed.ncbi.nlm.nih.gov/18026886/" TargetMode="External"/><Relationship Id="rId17" Type="http://schemas.openxmlformats.org/officeDocument/2006/relationships/hyperlink" Target="https://www.scielo.org.ar/scielo.php?script=sci_arttext&amp;pid=S0325-00752011000300019&amp;lng=en&amp;nrm=iso&amp;tlng=en" TargetMode="External"/><Relationship Id="rId25" Type="http://schemas.openxmlformats.org/officeDocument/2006/relationships/hyperlink" Target="https://www.sciencedirect.com/science/article/abs/pii/S0887796309000911?via%3Dihub" TargetMode="External"/><Relationship Id="rId33" Type="http://schemas.openxmlformats.org/officeDocument/2006/relationships/hyperlink" Target="https://www.jstct.or.jp/uploads/files/guideline/14m_immunodeficiency.pdf" TargetMode="External"/><Relationship Id="rId38" Type="http://schemas.openxmlformats.org/officeDocument/2006/relationships/hyperlink" Target="https://www.sciencedirect.com/science/article/pii/S2213219817300351" TargetMode="External"/><Relationship Id="rId46" Type="http://schemas.openxmlformats.org/officeDocument/2006/relationships/hyperlink" Target="https://www.jacionline.org/article/S0091-6749(12)01103-7/fulltext" TargetMode="External"/><Relationship Id="rId2" Type="http://schemas.openxmlformats.org/officeDocument/2006/relationships/hyperlink" Target="https://www.jacionline.org/article/S0091-6749(18)31268-5/fulltext" TargetMode="External"/><Relationship Id="rId16" Type="http://schemas.openxmlformats.org/officeDocument/2006/relationships/hyperlink" Target="https://www.sap.org.ar/docs/publicaciones/archivosarg/2018/v116n2a42.pdf" TargetMode="External"/><Relationship Id="rId20" Type="http://schemas.openxmlformats.org/officeDocument/2006/relationships/hyperlink" Target="https://www.allergy.org.au/images/stories/pospapers/ASCIA_HP_Guidelines_SCID_2019.pdf" TargetMode="External"/><Relationship Id="rId29" Type="http://schemas.openxmlformats.org/officeDocument/2006/relationships/hyperlink" Target="https://register.awmf.org/assets/guidelines/024-012l_S2k_Neugeborenenscreening_2022-02-abgelaufen.pdf" TargetMode="External"/><Relationship Id="rId41" Type="http://schemas.openxmlformats.org/officeDocument/2006/relationships/hyperlink" Target="https://www.jacionline.org/article/S0091-6749(17)31191-0/fulltext" TargetMode="External"/><Relationship Id="rId1" Type="http://schemas.openxmlformats.org/officeDocument/2006/relationships/hyperlink" Target="https://www.ncbi.nlm.nih.gov/pmc/articles/PMC4083684/" TargetMode="External"/><Relationship Id="rId6" Type="http://schemas.openxmlformats.org/officeDocument/2006/relationships/hyperlink" Target="https://www.ncbi.nlm.nih.gov/pmc/articles/PMC4869529/" TargetMode="External"/><Relationship Id="rId11" Type="http://schemas.openxmlformats.org/officeDocument/2006/relationships/hyperlink" Target="https://academic.oup.com/cei/article/167/1/108/6422848?login=false" TargetMode="External"/><Relationship Id="rId24" Type="http://schemas.openxmlformats.org/officeDocument/2006/relationships/hyperlink" Target="https://lymphosign.com/doi/10.14785/lymphosign-2017-0008" TargetMode="External"/><Relationship Id="rId32" Type="http://schemas.openxmlformats.org/officeDocument/2006/relationships/hyperlink" Target="https://www.jacionline.org/article/S0091-6749(20)31165-9/fulltext" TargetMode="External"/><Relationship Id="rId37" Type="http://schemas.openxmlformats.org/officeDocument/2006/relationships/hyperlink" Target="https://www.sciencedirect.com/science/article/abs/pii/S0213005X20302500?via%3Dihub" TargetMode="External"/><Relationship Id="rId40" Type="http://schemas.openxmlformats.org/officeDocument/2006/relationships/hyperlink" Target="https://www.ncbi.nlm.nih.gov/pmc/articles/PMC6514370/" TargetMode="External"/><Relationship Id="rId45" Type="http://schemas.openxmlformats.org/officeDocument/2006/relationships/hyperlink" Target="https://www.aaaai.org/Aaaai/media/MediaLibrary/PDF%20Documents/Practice%20and%20Parameters/PID-Nov-2015.pdf" TargetMode="External"/><Relationship Id="rId5" Type="http://schemas.openxmlformats.org/officeDocument/2006/relationships/hyperlink" Target="https://www.ncbi.nlm.nih.gov/pmc/articles/PMC9244088/pdf/10875_2022_Article_1289.pdf" TargetMode="External"/><Relationship Id="rId15" Type="http://schemas.openxmlformats.org/officeDocument/2006/relationships/hyperlink" Target="https://www.elsevier.es/en-revista-allergologia-et-immunopathologia-105-linkresolver-primary-immunodeficiency-diseases-in-latin-S030105461100022X" TargetMode="External"/><Relationship Id="rId23" Type="http://schemas.openxmlformats.org/officeDocument/2006/relationships/hyperlink" Target="https://www.hemophilia.ca/files/Bruce%20Mazer%20-%20Guidelines%20for%20the%20Diagnosis%20and%20Treatment%20of%20Primary%20Immune%20Deficiency.pdf" TargetMode="External"/><Relationship Id="rId28" Type="http://schemas.openxmlformats.org/officeDocument/2006/relationships/hyperlink" Target="https://www.has-sante.fr/upload/docs/application/pdf/2023-04/pnds_di_web_2023.pdf" TargetMode="External"/><Relationship Id="rId36" Type="http://schemas.openxmlformats.org/officeDocument/2006/relationships/hyperlink" Target="https://www.jiaci.org/summary/vol20-issue3-num584" TargetMode="External"/><Relationship Id="rId49" Type="http://schemas.openxmlformats.org/officeDocument/2006/relationships/hyperlink" Target="https://www.ncbi.nlm.nih.gov/pmc/articles/PMC2953894/" TargetMode="External"/><Relationship Id="rId10" Type="http://schemas.openxmlformats.org/officeDocument/2006/relationships/hyperlink" Target="https://ec.europa.eu/health/ph_projects/2005/action1/docs/action1_2005_frep_01_en.pdf" TargetMode="External"/><Relationship Id="rId19" Type="http://schemas.openxmlformats.org/officeDocument/2006/relationships/hyperlink" Target="https://www.scielo.org.ar/scielo.php?script=sci_arttext&amp;pid=S0325-00752010000500018&amp;lng=en&amp;nrm=iso&amp;tlng=en" TargetMode="External"/><Relationship Id="rId31" Type="http://schemas.openxmlformats.org/officeDocument/2006/relationships/hyperlink" Target="https://register.awmf.org/assets/guidelines/189-001l_S3_Therapie-primaerer-Antikoerpermangelerkrankungen-2019-05-verlaengert.pdf" TargetMode="External"/><Relationship Id="rId44" Type="http://schemas.openxmlformats.org/officeDocument/2006/relationships/hyperlink" Target="https://www.pospid.org.rs/images/materijal/IDF%20Diagnostic%20and%20Clinical%20Care%20Guidelines%20second%20edition%20%20%20FINAL.pdf" TargetMode="External"/><Relationship Id="rId52" Type="http://schemas.openxmlformats.org/officeDocument/2006/relationships/printerSettings" Target="../printerSettings/printerSettings3.bin"/><Relationship Id="rId4" Type="http://schemas.openxmlformats.org/officeDocument/2006/relationships/hyperlink" Target="https://www.ncbi.nlm.nih.gov/pmc/articles/PMC7253377/" TargetMode="External"/><Relationship Id="rId9" Type="http://schemas.openxmlformats.org/officeDocument/2006/relationships/hyperlink" Target="https://www.nature.com/articles/s41409-021-01378-8" TargetMode="External"/><Relationship Id="rId14" Type="http://schemas.openxmlformats.org/officeDocument/2006/relationships/hyperlink" Target="https://www.jacionline.org/article/S0091-6749(19)31040-1/fulltext" TargetMode="External"/><Relationship Id="rId22" Type="http://schemas.openxmlformats.org/officeDocument/2006/relationships/hyperlink" Target="https://www.ncbi.nlm.nih.gov/pmc/articles/PMC5433300/" TargetMode="External"/><Relationship Id="rId27" Type="http://schemas.openxmlformats.org/officeDocument/2006/relationships/hyperlink" Target="https://revistas.javeriana.edu.co/index.php/scientarium/article/view/4965" TargetMode="External"/><Relationship Id="rId30" Type="http://schemas.openxmlformats.org/officeDocument/2006/relationships/hyperlink" Target="https://register.awmf.org/assets/guidelines/112-001l_S2k_Primaere_Immundefekte_PID_2017-11_abgelaufen.pdf" TargetMode="External"/><Relationship Id="rId35" Type="http://schemas.openxmlformats.org/officeDocument/2006/relationships/hyperlink" Target="https://mhlw-grants.niph.go.jp/system/files/download_pdf/2022/202211045A.pdf" TargetMode="External"/><Relationship Id="rId43" Type="http://schemas.openxmlformats.org/officeDocument/2006/relationships/hyperlink" Target="https://www.cdc.gov/mmwr/preview/mmwrhtml/rr5301a1.htm" TargetMode="External"/><Relationship Id="rId48" Type="http://schemas.openxmlformats.org/officeDocument/2006/relationships/hyperlink" Target="https://www.acpjournals.org/doi/full/10.7326/0003-4819-130-7-199904060-00020" TargetMode="External"/><Relationship Id="rId8" Type="http://schemas.openxmlformats.org/officeDocument/2006/relationships/hyperlink" Target="https://www.jaci-inpractice.org/article/S2213-2198(23)00118-6/abstract" TargetMode="External"/><Relationship Id="rId51" Type="http://schemas.openxmlformats.org/officeDocument/2006/relationships/hyperlink" Target="https://www.ncbi.nlm.nih.gov/pmc/articles/PMC5659271/"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raredisorders.ca/events/upcoming-events/fall-2024-rare-disease-conference" TargetMode="External"/><Relationship Id="rId299" Type="http://schemas.openxmlformats.org/officeDocument/2006/relationships/hyperlink" Target="https://2021.eshg.org/programme/" TargetMode="External"/><Relationship Id="rId21" Type="http://schemas.openxmlformats.org/officeDocument/2006/relationships/hyperlink" Target="https://www.rarediseasesinternational.org/wp-content/uploads/2021/05/RDI-Membership-Meeting-2021-1.pdf" TargetMode="External"/><Relationship Id="rId63" Type="http://schemas.openxmlformats.org/officeDocument/2006/relationships/hyperlink" Target="https://efi-conference.org/fileadmin/Congress_2024/program/EFI2024_Final_Program-17-5.pdf" TargetMode="External"/><Relationship Id="rId159" Type="http://schemas.openxmlformats.org/officeDocument/2006/relationships/hyperlink" Target="https://www.aini.it/wp-content/uploads/2021/05/SIICA2021_FINAL.pdf" TargetMode="External"/><Relationship Id="rId324" Type="http://schemas.openxmlformats.org/officeDocument/2006/relationships/hyperlink" Target="https://www.congre.co.jp/jshg2024/program/index.html" TargetMode="External"/><Relationship Id="rId366" Type="http://schemas.openxmlformats.org/officeDocument/2006/relationships/hyperlink" Target="https://square.umin.ac.jp/jsgc46/pdf/program.pdf" TargetMode="External"/><Relationship Id="rId170" Type="http://schemas.openxmlformats.org/officeDocument/2006/relationships/hyperlink" Target="http://jscia53.umin.jp/program.html" TargetMode="External"/><Relationship Id="rId226" Type="http://schemas.openxmlformats.org/officeDocument/2006/relationships/hyperlink" Target="https://www.aid.org.tr/xxvii-ulusal-alerji-ve-immunoloji-kongresi-24-28-ekim-2020/" TargetMode="External"/><Relationship Id="rId268" Type="http://schemas.openxmlformats.org/officeDocument/2006/relationships/hyperlink" Target="https://www.isong.org/event-3690302" TargetMode="External"/><Relationship Id="rId32" Type="http://schemas.openxmlformats.org/officeDocument/2006/relationships/hyperlink" Target="https://www.syneoshealth.com/events/world-orphan-drug-congress-eu-2020" TargetMode="External"/><Relationship Id="rId74" Type="http://schemas.openxmlformats.org/officeDocument/2006/relationships/hyperlink" Target="https://download2.eurordis.org/ecrd/2022/EXECUTIVE_SUMMARY_FINAL_18-11.pdf" TargetMode="External"/><Relationship Id="rId128" Type="http://schemas.openxmlformats.org/officeDocument/2006/relationships/hyperlink" Target="https://www.emedevents.com/online-cme-courses/live-webinar/76th-annual-canadian-society-of-allergy-and-clinical-immunology-csaci-scientific-virtual-meeting" TargetMode="External"/><Relationship Id="rId335" Type="http://schemas.openxmlformats.org/officeDocument/2006/relationships/hyperlink" Target="https://d6a27bf6-9c2f-4d3f-8359-1cb2d86b3d4d.usrfiles.com/ugd/d6a27b_5a477eaf795e4b5ebab05611f57dbf97.pdf" TargetMode="External"/><Relationship Id="rId377" Type="http://schemas.openxmlformats.org/officeDocument/2006/relationships/hyperlink" Target="https://www.c-linkage.co.jp/jsgct2020/program.html" TargetMode="External"/><Relationship Id="rId5" Type="http://schemas.openxmlformats.org/officeDocument/2006/relationships/hyperlink" Target="https://cdn.ymaws.com/focisnet.site-ym.com/resource/resmgr/focis_2021_final_program.pdf" TargetMode="External"/><Relationship Id="rId181" Type="http://schemas.openxmlformats.org/officeDocument/2006/relationships/hyperlink" Target="https://www.apapari.org/news/2022-jspaci-apapari-joint-congress/" TargetMode="External"/><Relationship Id="rId237" Type="http://schemas.openxmlformats.org/officeDocument/2006/relationships/hyperlink" Target="https://www.immunology.org/events/bsi-congress" TargetMode="External"/><Relationship Id="rId402" Type="http://schemas.openxmlformats.org/officeDocument/2006/relationships/hyperlink" Target="https://aacb.eventsair.com/hgsa-47th-annual-scientific-meeting/scientific-program" TargetMode="External"/><Relationship Id="rId279" Type="http://schemas.openxmlformats.org/officeDocument/2006/relationships/hyperlink" Target="https://www.ashg.org/wp-content/uploads/2022/09/ASHG2022-PAAG.pdf" TargetMode="External"/><Relationship Id="rId22" Type="http://schemas.openxmlformats.org/officeDocument/2006/relationships/hyperlink" Target="https://www.rarediseasesinternational.org/wp-content/uploads/2020/05/1.-Agenda-Final-on-website.pdf" TargetMode="External"/><Relationship Id="rId43" Type="http://schemas.openxmlformats.org/officeDocument/2006/relationships/hyperlink" Target="https://www.apardo.org/_files/ugd/0a4f38_1bd08534163f4ba29a01f760fcbc9da8.pdf" TargetMode="External"/><Relationship Id="rId64" Type="http://schemas.openxmlformats.org/officeDocument/2006/relationships/hyperlink" Target="https://efi-web.org/news/efi2023-36th-european-immunogenetics-and-histocompatibility-conference" TargetMode="External"/><Relationship Id="rId118" Type="http://schemas.openxmlformats.org/officeDocument/2006/relationships/hyperlink" Target="https://www.raredisorders.ca/uploads/Documents/CORD-Nov-Conf-Agenda-Nov-2023-FINALweb.pdf" TargetMode="External"/><Relationship Id="rId139" Type="http://schemas.openxmlformats.org/officeDocument/2006/relationships/hyperlink" Target="https://alliance-maladies-rares.org/wp-content/uploads/2022/06/Programme-congre%CC%80s-2022-Officiel.pdf" TargetMode="External"/><Relationship Id="rId290" Type="http://schemas.openxmlformats.org/officeDocument/2006/relationships/hyperlink" Target="https://bsgm.org.uk/media/11767/bsgm-acgs-uk-clinical-genomics-2021-programme.pdf" TargetMode="External"/><Relationship Id="rId304" Type="http://schemas.openxmlformats.org/officeDocument/2006/relationships/hyperlink" Target="https://yonetim.citius.technology/files/kurum/kurum75/menu/hog2023-bildiri-kitabi310523.pdf" TargetMode="External"/><Relationship Id="rId325" Type="http://schemas.openxmlformats.org/officeDocument/2006/relationships/hyperlink" Target="https://www.congre.co.jp/hga2023/files/program/program_jp.pdf" TargetMode="External"/><Relationship Id="rId346" Type="http://schemas.openxmlformats.org/officeDocument/2006/relationships/hyperlink" Target="https://gfh-tagung.gfhev.de/en/home.html" TargetMode="External"/><Relationship Id="rId367" Type="http://schemas.openxmlformats.org/officeDocument/2006/relationships/hyperlink" Target="https://gakujutsushukai.jp/jsgc2021/terms" TargetMode="External"/><Relationship Id="rId388" Type="http://schemas.openxmlformats.org/officeDocument/2006/relationships/hyperlink" Target="https://ccmgcscc.com/full-program/" TargetMode="External"/><Relationship Id="rId85" Type="http://schemas.openxmlformats.org/officeDocument/2006/relationships/hyperlink" Target="https://drive.google.com/file/d/1hyz0CmGewb_cEu-vqagGjQDPLBvuXGhb/view" TargetMode="External"/><Relationship Id="rId150" Type="http://schemas.openxmlformats.org/officeDocument/2006/relationships/hyperlink" Target="https://allergiekongress.de/wp-content/uploads/2020/09/DAK20_Hauptprogramm_web_04.pdf" TargetMode="External"/><Relationship Id="rId171" Type="http://schemas.openxmlformats.org/officeDocument/2006/relationships/hyperlink" Target="http://jscia52.umin.jp/program.html" TargetMode="External"/><Relationship Id="rId192" Type="http://schemas.openxmlformats.org/officeDocument/2006/relationships/hyperlink" Target="https://kaaaci.or.kr/2022f/content/program.php" TargetMode="External"/><Relationship Id="rId206" Type="http://schemas.openxmlformats.org/officeDocument/2006/relationships/hyperlink" Target="https://www.congresoseaic.org/static/upload/ow81/events/ev514/Site/files/Programa_SEAIC23-2410.pdf" TargetMode="External"/><Relationship Id="rId227" Type="http://schemas.openxmlformats.org/officeDocument/2006/relationships/hyperlink" Target="https://bsaciconference.org/wp-content/uploads/2024/09/BSACI-2024-programme-for-website_05-09-24.pdf" TargetMode="External"/><Relationship Id="rId413" Type="http://schemas.openxmlformats.org/officeDocument/2006/relationships/hyperlink" Target="https://sbg.org.br/eventos/genetica2024/programacao" TargetMode="External"/><Relationship Id="rId248" Type="http://schemas.openxmlformats.org/officeDocument/2006/relationships/hyperlink" Target="https://www.immunology2022.org/wp-content/uploads/2022/04/Imm22-Program-Book-web.pdf" TargetMode="External"/><Relationship Id="rId269" Type="http://schemas.openxmlformats.org/officeDocument/2006/relationships/hyperlink" Target="https://www.nig.ac.jp/nig/2022/02/information/ha20220210.html" TargetMode="External"/><Relationship Id="rId12" Type="http://schemas.openxmlformats.org/officeDocument/2006/relationships/hyperlink" Target="https://cslide.ctimeetingtech.com/esid21/attendee/confcal/presentation" TargetMode="External"/><Relationship Id="rId33" Type="http://schemas.openxmlformats.org/officeDocument/2006/relationships/hyperlink" Target="https://www.wac2023bangkok.com/program/fullprogram" TargetMode="External"/><Relationship Id="rId108" Type="http://schemas.openxmlformats.org/officeDocument/2006/relationships/hyperlink" Target="https://iuis.org/events/the-49th-annual-scientific-meeting-of-the-australian-and-new-zealand-society-for-immunology-asi-2021-2/" TargetMode="External"/><Relationship Id="rId129" Type="http://schemas.openxmlformats.org/officeDocument/2006/relationships/hyperlink" Target="https://www.emedevents.com/c/medical-conferences-2020/canadian-society-of-allergy-and-clinical-immunology-csaci-annual-scientific-meeting-2020" TargetMode="External"/><Relationship Id="rId280" Type="http://schemas.openxmlformats.org/officeDocument/2006/relationships/hyperlink" Target="https://www.ashg.org/meetings/2021meeting/attendees/schedule/" TargetMode="External"/><Relationship Id="rId315" Type="http://schemas.openxmlformats.org/officeDocument/2006/relationships/hyperlink" Target="https://segcd.org/wp-content/uploads/2017/02/jornadasegcd2021.pdf" TargetMode="External"/><Relationship Id="rId336" Type="http://schemas.openxmlformats.org/officeDocument/2006/relationships/hyperlink" Target="https://bvent.biomedia.net/gestionale/documenti/evento/3800/programma.pdf" TargetMode="External"/><Relationship Id="rId357" Type="http://schemas.openxmlformats.org/officeDocument/2006/relationships/hyperlink" Target="http://events.hgvs.org/program.html" TargetMode="External"/><Relationship Id="rId54" Type="http://schemas.openxmlformats.org/officeDocument/2006/relationships/hyperlink" Target="https://msaiapsid2022.allergymsai.org/scientific-program/" TargetMode="External"/><Relationship Id="rId75" Type="http://schemas.openxmlformats.org/officeDocument/2006/relationships/hyperlink" Target="http://download2.eurordis.org.s3-eu-west-1.amazonaws.com/ecrd/2020/ECRD2020_full_programme.pdf" TargetMode="External"/><Relationship Id="rId96" Type="http://schemas.openxmlformats.org/officeDocument/2006/relationships/hyperlink" Target="https://www.fadepof.org.ar/noticias_detalle.php?IdNoticia=1620" TargetMode="External"/><Relationship Id="rId140" Type="http://schemas.openxmlformats.org/officeDocument/2006/relationships/hyperlink" Target="https://alliance-maladies-rares.org/wp-content/uploads/2021/06/programme-congres-Alliance-maladies-rares-040621.pdf" TargetMode="External"/><Relationship Id="rId161" Type="http://schemas.openxmlformats.org/officeDocument/2006/relationships/hyperlink" Target="https://www.jsiad.org/wp-content/uploads/2022/01/time-table.pdf" TargetMode="External"/><Relationship Id="rId182" Type="http://schemas.openxmlformats.org/officeDocument/2006/relationships/hyperlink" Target="http://jspaci58.umin.jp/dl/timetable02.pdf" TargetMode="External"/><Relationship Id="rId217" Type="http://schemas.openxmlformats.org/officeDocument/2006/relationships/hyperlink" Target="https://www.turkimmunoloji.org/assets/2020-XXV.-Ulusal-immunoloji-Kongresi_compressed.pdf" TargetMode="External"/><Relationship Id="rId378" Type="http://schemas.openxmlformats.org/officeDocument/2006/relationships/hyperlink" Target="https://az659834.vo.msecnd.net/eventsairaueprod/production-waldronsmith-public/3edc702495bd4fc1bd5d06fc83b2acb9" TargetMode="External"/><Relationship Id="rId399" Type="http://schemas.openxmlformats.org/officeDocument/2006/relationships/hyperlink" Target="https://ptgc.pl/wp-content/uploads/2023/06/Program.pdf" TargetMode="External"/><Relationship Id="rId403" Type="http://schemas.openxmlformats.org/officeDocument/2006/relationships/hyperlink" Target="https://aacb.eventsair.com/hgsa-45th-annual-scientific-meeting/scientific-program" TargetMode="External"/><Relationship Id="rId6" Type="http://schemas.openxmlformats.org/officeDocument/2006/relationships/hyperlink" Target="https://www.focisnet.org/wp-content/uploads/FOCIS2020_Program_Final-compressed-compressed.pdf" TargetMode="External"/><Relationship Id="rId238" Type="http://schemas.openxmlformats.org/officeDocument/2006/relationships/hyperlink" Target="https://cdn.eventsforce.net/files/ef-divra5y5642a/website/5/5615_bsi_virtual_conference_pdf_programme_final.pdf" TargetMode="External"/><Relationship Id="rId259" Type="http://schemas.openxmlformats.org/officeDocument/2006/relationships/hyperlink" Target="https://cis.clinimmsoc.org/education/meetings/am22/program/amprogram" TargetMode="External"/><Relationship Id="rId23" Type="http://schemas.openxmlformats.org/officeDocument/2006/relationships/hyperlink" Target="https://www.wirm.ch/wp-content/uploads/2024/03/1FinalProgram2024druckoAbstracts.pdf" TargetMode="External"/><Relationship Id="rId119" Type="http://schemas.openxmlformats.org/officeDocument/2006/relationships/hyperlink" Target="https://www.raredisorders.ca/uploads/Documents/CORD-Fall-Conference-Nov-2022-FINAL-Agenda_logosV2.pdf" TargetMode="External"/><Relationship Id="rId270" Type="http://schemas.openxmlformats.org/officeDocument/2006/relationships/hyperlink" Target="https://genetics-gsa.org/tagc-2024/download-program-and-abstract-books/" TargetMode="External"/><Relationship Id="rId291" Type="http://schemas.openxmlformats.org/officeDocument/2006/relationships/hyperlink" Target="https://public.rsb.org.uk/Draft%20Programme%20-%20GenSoc%20Nov%202024.pdf" TargetMode="External"/><Relationship Id="rId305" Type="http://schemas.openxmlformats.org/officeDocument/2006/relationships/hyperlink" Target="https://yonetim.citius.technology/menu/menu672/hog2021-kitap.pdf" TargetMode="External"/><Relationship Id="rId326" Type="http://schemas.openxmlformats.org/officeDocument/2006/relationships/hyperlink" Target="https://www.congre.co.jp/jshg2022/program.html" TargetMode="External"/><Relationship Id="rId347" Type="http://schemas.openxmlformats.org/officeDocument/2006/relationships/hyperlink" Target="https://www.kongress.de/veranstaltung/33_jahrestagung_der_deutschen_gesellschaft_fuer_humangenetik-62306045" TargetMode="External"/><Relationship Id="rId44" Type="http://schemas.openxmlformats.org/officeDocument/2006/relationships/hyperlink" Target="https://www.apardo.org/_files/ugd/0a4f38_347bbee85638424a8ad9c535186ba35c.pdf" TargetMode="External"/><Relationship Id="rId65" Type="http://schemas.openxmlformats.org/officeDocument/2006/relationships/hyperlink" Target="https://efi-conference.org/fileadmin/Congress_2022/user_upload/Sponsorbrochure_EFF2022_A4_29okt_new.pdf" TargetMode="External"/><Relationship Id="rId86" Type="http://schemas.openxmlformats.org/officeDocument/2006/relationships/hyperlink" Target="https://slaai.blogspot.com/search/label/congreso%20slaai%202021?m=0" TargetMode="External"/><Relationship Id="rId130" Type="http://schemas.openxmlformats.org/officeDocument/2006/relationships/hyperlink" Target="https://congresoacaai.com/wp-content/uploads/2023/09/Programa-Congreso-Completo.pdf" TargetMode="External"/><Relationship Id="rId151" Type="http://schemas.openxmlformats.org/officeDocument/2006/relationships/hyperlink" Target="https://immunology.fr/en/event/sfi-dgfi-joint-meeting/" TargetMode="External"/><Relationship Id="rId368" Type="http://schemas.openxmlformats.org/officeDocument/2006/relationships/hyperlink" Target="https://www.okinawa-congre.co.jp/jsgc2020/files/program.pdf" TargetMode="External"/><Relationship Id="rId389" Type="http://schemas.openxmlformats.org/officeDocument/2006/relationships/hyperlink" Target="https://www.ccmg-ccgm.org/event/ccmg-46th-annual-scientific-meeting/" TargetMode="External"/><Relationship Id="rId172" Type="http://schemas.openxmlformats.org/officeDocument/2006/relationships/hyperlink" Target="https://www.jscia.org/event_past.html" TargetMode="External"/><Relationship Id="rId193" Type="http://schemas.openxmlformats.org/officeDocument/2006/relationships/hyperlink" Target="https://kaaaci.or.kr/2021f/content/program.php" TargetMode="External"/><Relationship Id="rId207" Type="http://schemas.openxmlformats.org/officeDocument/2006/relationships/hyperlink" Target="https://www.congresoseaic.org/static/upload/ow81/events/ev327/Site/files/programa_Seaic33_comOral_posteres_2510.pdf" TargetMode="External"/><Relationship Id="rId228" Type="http://schemas.openxmlformats.org/officeDocument/2006/relationships/hyperlink" Target="https://www.bsaci.org/education-and-events/meetings/past-bsaci-conference-photos/bsaci-annual-conference-2023/" TargetMode="External"/><Relationship Id="rId249" Type="http://schemas.openxmlformats.org/officeDocument/2006/relationships/hyperlink" Target="https://www.immunology2021.org/scientific-program/" TargetMode="External"/><Relationship Id="rId414" Type="http://schemas.openxmlformats.org/officeDocument/2006/relationships/hyperlink" Target="https://sbg.org.br/eventos/genetica2023/files/programafinal01.pdf" TargetMode="External"/><Relationship Id="rId13" Type="http://schemas.openxmlformats.org/officeDocument/2006/relationships/hyperlink" Target="https://ipopi.org/asia2024/" TargetMode="External"/><Relationship Id="rId109" Type="http://schemas.openxmlformats.org/officeDocument/2006/relationships/hyperlink" Target="https://www.geneticalliance.org.au/news.php?Annual-General-Meeting-101" TargetMode="External"/><Relationship Id="rId260" Type="http://schemas.openxmlformats.org/officeDocument/2006/relationships/hyperlink" Target="https://cis.clinimmsoc.org/UserFiles/file/CISAM2021Agenda4.7.2021_v1.pdf" TargetMode="External"/><Relationship Id="rId281" Type="http://schemas.openxmlformats.org/officeDocument/2006/relationships/hyperlink" Target="https://www.abstractsonline.com/pp8/" TargetMode="External"/><Relationship Id="rId316" Type="http://schemas.openxmlformats.org/officeDocument/2006/relationships/hyperlink" Target="https://segcd.org/wp-content/uploads/2017/02/JornadaSEGCD23.09.2020.pdf" TargetMode="External"/><Relationship Id="rId337" Type="http://schemas.openxmlformats.org/officeDocument/2006/relationships/hyperlink" Target="https://sigu.congressonazionale.com/wp-content/uploads/2023/10/Programma_SIGU2023.pdf" TargetMode="External"/><Relationship Id="rId34" Type="http://schemas.openxmlformats.org/officeDocument/2006/relationships/hyperlink" Target="https://aai.org.tr/uploads/pdf_446.pdf" TargetMode="External"/><Relationship Id="rId55" Type="http://schemas.openxmlformats.org/officeDocument/2006/relationships/hyperlink" Target="https://aphia2023.org/" TargetMode="External"/><Relationship Id="rId76" Type="http://schemas.openxmlformats.org/officeDocument/2006/relationships/hyperlink" Target="https://ern-euro-nmd.eu/wp-content/uploads/2024/07/ERICA-GA2024-Programme.pdf" TargetMode="External"/><Relationship Id="rId97" Type="http://schemas.openxmlformats.org/officeDocument/2006/relationships/hyperlink" Target="https://inmunologia.org.ar/wp-content/uploads/2023/11/PROGRAM-FINAL.pdf" TargetMode="External"/><Relationship Id="rId120" Type="http://schemas.openxmlformats.org/officeDocument/2006/relationships/hyperlink" Target="https://www.raredisorders.ca/uploads/Documents/CORD-Fall-2021-Conference-Agenda-FINAL-1.pdf" TargetMode="External"/><Relationship Id="rId141" Type="http://schemas.openxmlformats.org/officeDocument/2006/relationships/hyperlink" Target="https://alliance-maladies-rares.org/wp-content/uploads/2020/11/Alliance-maladies-rares-programme-congres-031120.pdf" TargetMode="External"/><Relationship Id="rId358" Type="http://schemas.openxmlformats.org/officeDocument/2006/relationships/hyperlink" Target="https://safmls.org/jam" TargetMode="External"/><Relationship Id="rId379" Type="http://schemas.openxmlformats.org/officeDocument/2006/relationships/hyperlink" Target="https://www.centogene.com/news-events/conferences-events/eventdetail-page/acgh-congreso-medellin" TargetMode="External"/><Relationship Id="rId7" Type="http://schemas.openxmlformats.org/officeDocument/2006/relationships/hyperlink" Target="https://icord.es/wp-content/uploads/2024/07/Program-16th-Annual-ICORD-Meeting.pdf" TargetMode="External"/><Relationship Id="rId162" Type="http://schemas.openxmlformats.org/officeDocument/2006/relationships/hyperlink" Target="http://jsiad-4thmeeting.kenkyuukai.jp/images/sys/information/20210129085657-E648042C1D31D385E56194B1550350833902F46649C97F90A1EE4570E98B7FC2.pdf" TargetMode="External"/><Relationship Id="rId183" Type="http://schemas.openxmlformats.org/officeDocument/2006/relationships/hyperlink" Target="http://jspaci57.umin.jp/program/" TargetMode="External"/><Relationship Id="rId218" Type="http://schemas.openxmlformats.org/officeDocument/2006/relationships/hyperlink" Target="https://www.klinikimmunoloji.com/" TargetMode="External"/><Relationship Id="rId239" Type="http://schemas.openxmlformats.org/officeDocument/2006/relationships/hyperlink" Target="https://web-eur.cvent.com/event/f10e3b8a-5e7f-4e26-990b-c456da6962b4/websitePage:a63c041f-03a1-4e8f-a666-0710e9619105" TargetMode="External"/><Relationship Id="rId390" Type="http://schemas.openxmlformats.org/officeDocument/2006/relationships/hyperlink" Target="https://www.emedevents.com/online-cme-courses/live-webinar/canadian-college-of-medical-geneticists-ccmg-45th-annual-scientific-meeting" TargetMode="External"/><Relationship Id="rId404" Type="http://schemas.openxmlformats.org/officeDocument/2006/relationships/hyperlink" Target="https://aacb.eventsair.com/hgsa-44th-annual-scientific-meeting/scientific-program" TargetMode="External"/><Relationship Id="rId250" Type="http://schemas.openxmlformats.org/officeDocument/2006/relationships/hyperlink" Target="https://ashiannualmeeting.eventscribe.net/agenda.asp?BCFO=&amp;pfp=FullSchedule&amp;fa=&amp;fb=&amp;fc=&amp;fd=&amp;all=1&amp;mode=" TargetMode="External"/><Relationship Id="rId271" Type="http://schemas.openxmlformats.org/officeDocument/2006/relationships/hyperlink" Target="https://genetics-gsa.org/tagc/wp-content/uploads/sites/28/2021/06/200413-TAGC20-Program-Book-v1.pdf" TargetMode="External"/><Relationship Id="rId292" Type="http://schemas.openxmlformats.org/officeDocument/2006/relationships/hyperlink" Target="https://genetics.org.uk/wp-content/uploads/2018/06/Genetics_of_Future_Food_Production_programme_v1.pdf" TargetMode="External"/><Relationship Id="rId306" Type="http://schemas.openxmlformats.org/officeDocument/2006/relationships/hyperlink" Target="https://www.geneticahumana.org/documentos/genetica%20programa%20vertical%2023.pdf" TargetMode="External"/><Relationship Id="rId24" Type="http://schemas.openxmlformats.org/officeDocument/2006/relationships/hyperlink" Target="https://www.wirm.ch/wp-content/uploads/2023/07/FinalProgram2023oAbstractsWeblow.pdf" TargetMode="External"/><Relationship Id="rId45" Type="http://schemas.openxmlformats.org/officeDocument/2006/relationships/hyperlink" Target="https://www.apardo.org/_files/ugd/0a4f38_d0dece7efd1040d8998888c4aa78760c.pdf" TargetMode="External"/><Relationship Id="rId66" Type="http://schemas.openxmlformats.org/officeDocument/2006/relationships/hyperlink" Target="https://bshi.org.uk/event/34th-european-immunogenetics-and-histocompatibility-conference/" TargetMode="External"/><Relationship Id="rId87" Type="http://schemas.openxmlformats.org/officeDocument/2006/relationships/hyperlink" Target="https://www.alaci.org/en/13th-latin-american-and-caribbean-congress-of-immunology-alaci-2022/" TargetMode="External"/><Relationship Id="rId110" Type="http://schemas.openxmlformats.org/officeDocument/2006/relationships/hyperlink" Target="https://mailchi.mp/e1b5c0982a14/national-conference-wrap" TargetMode="External"/><Relationship Id="rId131" Type="http://schemas.openxmlformats.org/officeDocument/2006/relationships/hyperlink" Target="https://congresoacaai.com/home/" TargetMode="External"/><Relationship Id="rId327" Type="http://schemas.openxmlformats.org/officeDocument/2006/relationships/hyperlink" Target="https://drew.jp/TEST/jshg-jsgdt2021/en/program.html" TargetMode="External"/><Relationship Id="rId348" Type="http://schemas.openxmlformats.org/officeDocument/2006/relationships/hyperlink" Target="https://www.kongress.de/veranstaltung/32_jahrestagung_der_deutschen_gesellschaft_fuer_humangenetik-31207310" TargetMode="External"/><Relationship Id="rId369" Type="http://schemas.openxmlformats.org/officeDocument/2006/relationships/hyperlink" Target="https://gsj96kochi.com/" TargetMode="External"/><Relationship Id="rId152" Type="http://schemas.openxmlformats.org/officeDocument/2006/relationships/hyperlink" Target="https://oegai.org/wp-content/uploads/2021/11/DGfI_2022_First-Ann-10-21.pdf" TargetMode="External"/><Relationship Id="rId173" Type="http://schemas.openxmlformats.org/officeDocument/2006/relationships/hyperlink" Target="http://jscia50.umin.jp/program.html" TargetMode="External"/><Relationship Id="rId194" Type="http://schemas.openxmlformats.org/officeDocument/2006/relationships/hyperlink" Target="https://kaaaci.or.kr/2020f/content/program.php" TargetMode="External"/><Relationship Id="rId208" Type="http://schemas.openxmlformats.org/officeDocument/2006/relationships/hyperlink" Target="https://www.congresoseaic.org/static/upload/ow81/events/ev353/Site/files/programa_Seaic32Virtual_ComOral_Poster0211.pdf" TargetMode="External"/><Relationship Id="rId229" Type="http://schemas.openxmlformats.org/officeDocument/2006/relationships/hyperlink" Target="https://www.bsaci.org/education-and-events/meetings/past-bsaci-conference-photos/wao-bsaci-2022-uk-conference/" TargetMode="External"/><Relationship Id="rId380" Type="http://schemas.openxmlformats.org/officeDocument/2006/relationships/hyperlink" Target="https://acgh.com.co/congreso-2021/programa-cientifico" TargetMode="External"/><Relationship Id="rId415" Type="http://schemas.openxmlformats.org/officeDocument/2006/relationships/hyperlink" Target="https://www.sbg.org.br/admin/files/book/book_Ye2lDG6GZfx1.pdf" TargetMode="External"/><Relationship Id="rId240" Type="http://schemas.openxmlformats.org/officeDocument/2006/relationships/hyperlink" Target="https://rd-research.org.uk/about-us/conference/" TargetMode="External"/><Relationship Id="rId261" Type="http://schemas.openxmlformats.org/officeDocument/2006/relationships/hyperlink" Target="https://cis.clinimmsoc.org/education/meetings/am20/program/annual-meeting-agenda" TargetMode="External"/><Relationship Id="rId14" Type="http://schemas.openxmlformats.org/officeDocument/2006/relationships/hyperlink" Target="https://ipopi.org/wp-content/uploads/2023/01/Regional-Asian-PID-Meeting-External-Programme-FINAL.pdf" TargetMode="External"/><Relationship Id="rId35" Type="http://schemas.openxmlformats.org/officeDocument/2006/relationships/hyperlink" Target="https://www.c-linkage.co.jp/jsawac2020/program.html" TargetMode="External"/><Relationship Id="rId56" Type="http://schemas.openxmlformats.org/officeDocument/2006/relationships/hyperlink" Target="https://static1.squarespace.com/static/5ed7478b1164f903067be731/t/618db0eea2a6b36c7ab53e12/1636675870666/ISHI+APHIA+CON+2021+Scientific+Program.pdf" TargetMode="External"/><Relationship Id="rId77" Type="http://schemas.openxmlformats.org/officeDocument/2006/relationships/hyperlink" Target="https://erica-rd.eu/wp-content/uploads/2023/03/ERICA-GA2023-Programme.pdf" TargetMode="External"/><Relationship Id="rId100" Type="http://schemas.openxmlformats.org/officeDocument/2006/relationships/hyperlink" Target="https://inmunologia.org.ar/documentos/pdf/Programa_SAIC_SAI_SAFIS_%202020.pdf" TargetMode="External"/><Relationship Id="rId282" Type="http://schemas.openxmlformats.org/officeDocument/2006/relationships/hyperlink" Target="https://www.emedevents.com/c/medical-conferences-2024/9th-joint-uk-dutch-clinical-genetics-societies-cgs-and-cancer-genetics-groups-cgg-meeting" TargetMode="External"/><Relationship Id="rId317" Type="http://schemas.openxmlformats.org/officeDocument/2006/relationships/hyperlink" Target="https://seg2023.segenetica.es/pdf/programa-largo-seg2023.pdf" TargetMode="External"/><Relationship Id="rId338" Type="http://schemas.openxmlformats.org/officeDocument/2006/relationships/hyperlink" Target="https://bvent.biomedia.net/gestionale/documenti/evento/3275/programma.pdf" TargetMode="External"/><Relationship Id="rId359" Type="http://schemas.openxmlformats.org/officeDocument/2006/relationships/hyperlink" Target="https://www.ksgd.org/conference/61/index.php?hCode=PROGRAM_03_01" TargetMode="External"/><Relationship Id="rId8" Type="http://schemas.openxmlformats.org/officeDocument/2006/relationships/hyperlink" Target="https://icord.es/15th-icord-conference-6th-7th-february-2023" TargetMode="External"/><Relationship Id="rId98" Type="http://schemas.openxmlformats.org/officeDocument/2006/relationships/hyperlink" Target="https://inmunologia.org.ar/reunion-conjunta-anual-2022/" TargetMode="External"/><Relationship Id="rId121" Type="http://schemas.openxmlformats.org/officeDocument/2006/relationships/hyperlink" Target="https://www.stemcellsciencenews.com/event/36th-annual-csi-conference/" TargetMode="External"/><Relationship Id="rId142" Type="http://schemas.openxmlformats.org/officeDocument/2006/relationships/hyperlink" Target="https://www.achse-online.de/de/was_tut_ACHSE/nakse/PDF/Nakse2023-Programmheft-WEB.pdf" TargetMode="External"/><Relationship Id="rId163" Type="http://schemas.openxmlformats.org/officeDocument/2006/relationships/hyperlink" Target="https://www.jsiad.org/wp-content/uploads/2019/12/JSIAD_3rd-Program.pdf" TargetMode="External"/><Relationship Id="rId184" Type="http://schemas.openxmlformats.org/officeDocument/2006/relationships/hyperlink" Target="https://darhawaraa.com/%D8%AF%D9%84%D9%8A%D9%84-%D9%88%D8%B2%D8%A7%D8%B1%D8%A9-%D8%A7%D9%84%D8%B5%D8%AD%D8%A9-%D9%84%D8%B4%D9%87%D8%B1-%D8%A3%D8%A8%D8%B1%D9%8A%D9%84-%D9%84%D8%B9%D8%A7%D9%85-2024%D9%85/" TargetMode="External"/><Relationship Id="rId219" Type="http://schemas.openxmlformats.org/officeDocument/2006/relationships/hyperlink" Target="https://www.klinikimmunoloji.com/dosyalar/9.Kongre-Programi.pdf" TargetMode="External"/><Relationship Id="rId370" Type="http://schemas.openxmlformats.org/officeDocument/2006/relationships/hyperlink" Target="https://gsj95.secand.net/program.html" TargetMode="External"/><Relationship Id="rId391" Type="http://schemas.openxmlformats.org/officeDocument/2006/relationships/hyperlink" Target="http://www.ksmg.or.kr/html/?pmode=acingview&amp;smode=view&amp;MMC_pid=17&amp;seq=114" TargetMode="External"/><Relationship Id="rId405" Type="http://schemas.openxmlformats.org/officeDocument/2006/relationships/hyperlink" Target="https://static1.squarespace.com/static/654dd5b95d4dec24aa5984df/t/66809777c27dd900025d9df2/1719703424540/GSA+-Program+.pdf" TargetMode="External"/><Relationship Id="rId230" Type="http://schemas.openxmlformats.org/officeDocument/2006/relationships/hyperlink" Target="https://www.bsaci.org/education-and-events/meetings/past-bsaci-conference-photos/2021-bsaci-conference/" TargetMode="External"/><Relationship Id="rId251" Type="http://schemas.openxmlformats.org/officeDocument/2006/relationships/hyperlink" Target="https://cdn.ymaws.com/www.ashi-hla.org/resource/resmgr/docs/meetings_annual/website_program_-_live.pdf" TargetMode="External"/><Relationship Id="rId25" Type="http://schemas.openxmlformats.org/officeDocument/2006/relationships/hyperlink" Target="https://www.wirm.ch/wp-content/uploads/2024/08/FinalProgram2022oAbstractsWeblow.pdf" TargetMode="External"/><Relationship Id="rId46" Type="http://schemas.openxmlformats.org/officeDocument/2006/relationships/hyperlink" Target="https://www.rarediseasesinternational.org/wp-content/uploads/2020/11/Apardo-agenda-V1-1.pdf" TargetMode="External"/><Relationship Id="rId67" Type="http://schemas.openxmlformats.org/officeDocument/2006/relationships/hyperlink" Target="https://ctnnb1-foundation.org/conference/" TargetMode="External"/><Relationship Id="rId272" Type="http://schemas.openxmlformats.org/officeDocument/2006/relationships/hyperlink" Target="https://genetics-gsa.org/peqg-2022/wp-content/uploads/sites/37/2022/05/220518-PEQG22-Program-Book-v1.pdf" TargetMode="External"/><Relationship Id="rId293" Type="http://schemas.openxmlformats.org/officeDocument/2006/relationships/hyperlink" Target="https://genetics.org.uk/wp-content/uploads/2018/06/Genetics-Society-Spring-Meeting-2022-programme_web-version.pdf" TargetMode="External"/><Relationship Id="rId307" Type="http://schemas.openxmlformats.org/officeDocument/2006/relationships/hyperlink" Target="https://www.geneticahumana.org/2021/documentos/IIIGENETICA2021.pdf" TargetMode="External"/><Relationship Id="rId328" Type="http://schemas.openxmlformats.org/officeDocument/2006/relationships/hyperlink" Target="https://www.micenavi.jp/jshg2020/search/result_list" TargetMode="External"/><Relationship Id="rId349" Type="http://schemas.openxmlformats.org/officeDocument/2006/relationships/hyperlink" Target="https://ssmg.org.sa/wp-content/uploads/2024/01/%D8%AC%D8%AF%D9%88%D9%84-%D9%85%D9%88%D9%94%D8%AA%D9%85%D8%B1-%D8%A7%D9%84%D8%AC%D9%85%D8%B9%D9%8A%D8%A9-%D8%A7%D9%84%D8%B3%D8%B9%D9%88%D8%AF%D9%8A%D8%A9-%D9%84%D9%84%D8%B7%D8%A8-%D8%A7%D9%84%D9%88%D8%B1%D8%A7%D8%AB%D9%8A-%D8%A8%D8%AC%D8%A7%D8%B2%D8%A7%D9%86.pdf" TargetMode="External"/><Relationship Id="rId88" Type="http://schemas.openxmlformats.org/officeDocument/2006/relationships/hyperlink" Target="https://alaci.org/subidas/alaci24/ALACI2024Program.pdf" TargetMode="External"/><Relationship Id="rId111" Type="http://schemas.openxmlformats.org/officeDocument/2006/relationships/hyperlink" Target="https://conasmar2024.com.br/programa/CONASMAR2024_Programa_Oficial_v08.pdf" TargetMode="External"/><Relationship Id="rId132" Type="http://schemas.openxmlformats.org/officeDocument/2006/relationships/hyperlink" Target="https://fondation-maladiesrares.org/wp-content/uploads/2024/06/Brochure-Colloque-2024-2.pdf" TargetMode="External"/><Relationship Id="rId153" Type="http://schemas.openxmlformats.org/officeDocument/2006/relationships/hyperlink" Target="https://siaaic2024.org/wp-content/uploads/2024/08/PROGRAMMA-SIAAIC-ROMA-2024.pdf" TargetMode="External"/><Relationship Id="rId174" Type="http://schemas.openxmlformats.org/officeDocument/2006/relationships/hyperlink" Target="https://www.icongroup.co.jp/52jsci/program/52JSCI_program_0807.pdf" TargetMode="External"/><Relationship Id="rId195" Type="http://schemas.openxmlformats.org/officeDocument/2006/relationships/hyperlink" Target="https://www.kai2023.kr/?pmode=scientificprogram" TargetMode="External"/><Relationship Id="rId209" Type="http://schemas.openxmlformats.org/officeDocument/2006/relationships/hyperlink" Target="https://neumoped.org/wp-content/uploads/2023/05/Programa_reunion_SEICAP-SENP_2023.pdf" TargetMode="External"/><Relationship Id="rId360" Type="http://schemas.openxmlformats.org/officeDocument/2006/relationships/hyperlink" Target="https://www.ksgd.org/conference/59/index.php?hCode=PROGRAM_03_01" TargetMode="External"/><Relationship Id="rId381" Type="http://schemas.openxmlformats.org/officeDocument/2006/relationships/hyperlink" Target="https://www.nsgc.org/Education-and-Events/Past-and-Future-Annual-Conferences" TargetMode="External"/><Relationship Id="rId416" Type="http://schemas.openxmlformats.org/officeDocument/2006/relationships/hyperlink" Target="https://drive.google.com/file/d/1vLsWDD5MXx2cPoY7XE8PdxooooF-MA4g/view" TargetMode="External"/><Relationship Id="rId220" Type="http://schemas.openxmlformats.org/officeDocument/2006/relationships/hyperlink" Target="https://www.kongreuzmani.com/8-klinik-immunoloji-kongresi-1.html" TargetMode="External"/><Relationship Id="rId241" Type="http://schemas.openxmlformats.org/officeDocument/2006/relationships/hyperlink" Target="https://www.aaaai.org/Aaaai/media/Media-Library-PDFs/Members%20Area/am24-FinProg-v19_lo-res.pdf" TargetMode="External"/><Relationship Id="rId15" Type="http://schemas.openxmlformats.org/officeDocument/2006/relationships/hyperlink" Target="https://ipopi.org/ipopi-3rd-regional-asian-pid-meeting/" TargetMode="External"/><Relationship Id="rId36" Type="http://schemas.openxmlformats.org/officeDocument/2006/relationships/hyperlink" Target="https://wac.worldallergy.net/media/WAC-2024-Program-Overview.pdf" TargetMode="External"/><Relationship Id="rId57" Type="http://schemas.openxmlformats.org/officeDocument/2006/relationships/hyperlink" Target="https://congresoceii.com/wp-content/uploads/2024/08/14_Programacion-academica-CCEII-rev.-14-08-Ago-2024.pdf" TargetMode="External"/><Relationship Id="rId262" Type="http://schemas.openxmlformats.org/officeDocument/2006/relationships/hyperlink" Target="https://nordsummit.org/agenda/" TargetMode="External"/><Relationship Id="rId283" Type="http://schemas.openxmlformats.org/officeDocument/2006/relationships/hyperlink" Target="https://www.clingensoc.org/events/joint-dutchuk-clinical-genetics-societies-and-cancer-genetics-group-meeting/" TargetMode="External"/><Relationship Id="rId318" Type="http://schemas.openxmlformats.org/officeDocument/2006/relationships/hyperlink" Target="https://www.seg2021.es/programa/" TargetMode="External"/><Relationship Id="rId339" Type="http://schemas.openxmlformats.org/officeDocument/2006/relationships/hyperlink" Target="https://bvent.biomedia.net/gestionale/documenti/evento/3005/programma.pdf" TargetMode="External"/><Relationship Id="rId78" Type="http://schemas.openxmlformats.org/officeDocument/2006/relationships/hyperlink" Target="https://erica-rd.eu/wp-content/uploads/2022/04/220411-ERICA-2nd-General-Assembly-Preliminary-Programme.pdf" TargetMode="External"/><Relationship Id="rId99" Type="http://schemas.openxmlformats.org/officeDocument/2006/relationships/hyperlink" Target="https://inmunologia.org.ar/programa-sai-reunion-anual/" TargetMode="External"/><Relationship Id="rId101" Type="http://schemas.openxmlformats.org/officeDocument/2006/relationships/hyperlink" Target="https://www.allergy.org.au/images/conf/ASCIA2024_PROGRAM_BOOK.pdf" TargetMode="External"/><Relationship Id="rId122" Type="http://schemas.openxmlformats.org/officeDocument/2006/relationships/hyperlink" Target="https://www.csi-sci.ca/_Library/_documents/FINAL-PROGRAM-_2023.pdf" TargetMode="External"/><Relationship Id="rId143" Type="http://schemas.openxmlformats.org/officeDocument/2006/relationships/hyperlink" Target="https://www.achse-online.de/de/was_tut_ACHSE/nakse/PDF/NAKSE2021-Programmheft_final.pdf" TargetMode="External"/><Relationship Id="rId164" Type="http://schemas.openxmlformats.org/officeDocument/2006/relationships/hyperlink" Target="https://www2.aeplan.co.jp/jsi2024/program.html" TargetMode="External"/><Relationship Id="rId185" Type="http://schemas.openxmlformats.org/officeDocument/2006/relationships/hyperlink" Target="https://saais.org.sa/ar/news/0/2" TargetMode="External"/><Relationship Id="rId350" Type="http://schemas.openxmlformats.org/officeDocument/2006/relationships/hyperlink" Target="https://www.asgct.org/CMSPages/GetFile.aspx?nodeguid=26babc1a-fc13-411d-860a-170d3e0225ae&amp;lang=en-US&amp;_ga=" TargetMode="External"/><Relationship Id="rId371" Type="http://schemas.openxmlformats.org/officeDocument/2006/relationships/hyperlink" Target="https://api.ibio.jp/gsj94p/talks.php" TargetMode="External"/><Relationship Id="rId406" Type="http://schemas.openxmlformats.org/officeDocument/2006/relationships/hyperlink" Target="https://genetics.org.au/2021/09/05/gsa-2021-conference-update/" TargetMode="External"/><Relationship Id="rId9" Type="http://schemas.openxmlformats.org/officeDocument/2006/relationships/hyperlink" Target="https://cslide.ctimeetingtech.com/esid24/attendee" TargetMode="External"/><Relationship Id="rId210" Type="http://schemas.openxmlformats.org/officeDocument/2006/relationships/hyperlink" Target="https://seicap.es/wp-content/uploads/2022/09/LIBRO-SEICAP-2022-v.final-1.pdf" TargetMode="External"/><Relationship Id="rId392" Type="http://schemas.openxmlformats.org/officeDocument/2006/relationships/hyperlink" Target="http://www.ksmg.or.kr/html/?pmode=acprevview&amp;smode=viewProgram&amp;MMC_pid=16&amp;seq=108" TargetMode="External"/><Relationship Id="rId26" Type="http://schemas.openxmlformats.org/officeDocument/2006/relationships/hyperlink" Target="https://www.wirm.ch/wp-content/uploads/2024/08/FinalProgram2021oAbstracts_Weblow.pdf" TargetMode="External"/><Relationship Id="rId231" Type="http://schemas.openxmlformats.org/officeDocument/2006/relationships/hyperlink" Target="https://bshiconference.org.uk/wp-content/uploads/2024/08/V12-DRAFT-BSHI-2024-Provisional-Programme_speaker-3.pdf" TargetMode="External"/><Relationship Id="rId252" Type="http://schemas.openxmlformats.org/officeDocument/2006/relationships/hyperlink" Target="https://cdn.ymaws.com/www.ashi-hla.org/resource/resmgr/docs/meetings_annual/printable_program_live_updat.pdf" TargetMode="External"/><Relationship Id="rId273" Type="http://schemas.openxmlformats.org/officeDocument/2006/relationships/hyperlink" Target="https://genetics-gsa.org/celegans2023/program-and-abstract-books/" TargetMode="External"/><Relationship Id="rId294" Type="http://schemas.openxmlformats.org/officeDocument/2006/relationships/hyperlink" Target="https://genetics.org.uk/events/bsdb-genetics-society-annual-spring-meeting/" TargetMode="External"/><Relationship Id="rId308" Type="http://schemas.openxmlformats.org/officeDocument/2006/relationships/hyperlink" Target="https://www.geyseco.es/genetica24/index.php?go=programa" TargetMode="External"/><Relationship Id="rId329" Type="http://schemas.openxmlformats.org/officeDocument/2006/relationships/hyperlink" Target="https://cbgm2024.com.br/programa.asp" TargetMode="External"/><Relationship Id="rId47" Type="http://schemas.openxmlformats.org/officeDocument/2006/relationships/hyperlink" Target="https://www.apaaaci2024.com/scientific-program.php" TargetMode="External"/><Relationship Id="rId68" Type="http://schemas.openxmlformats.org/officeDocument/2006/relationships/hyperlink" Target="https://ctnnb1-conference.org/index.php" TargetMode="External"/><Relationship Id="rId89" Type="http://schemas.openxmlformats.org/officeDocument/2006/relationships/hyperlink" Target="https://ercalgroup.org/" TargetMode="External"/><Relationship Id="rId112" Type="http://schemas.openxmlformats.org/officeDocument/2006/relationships/hyperlink" Target="https://asbai.org.br/wp-content/uploads/2024/06/Programacao_BRAGID-2024.pdf" TargetMode="External"/><Relationship Id="rId133" Type="http://schemas.openxmlformats.org/officeDocument/2006/relationships/hyperlink" Target="https://fondation-maladiesrares.org/wp-content/uploads/2023/06/Programme-colloque-2023-5.pdf" TargetMode="External"/><Relationship Id="rId154" Type="http://schemas.openxmlformats.org/officeDocument/2006/relationships/hyperlink" Target="https://angioedemaitaca.org/wp-content/uploads/2023/10/03.10.23_Programma-SIAAIC-Bologna-2023_con-loghi.pdf" TargetMode="External"/><Relationship Id="rId175" Type="http://schemas.openxmlformats.org/officeDocument/2006/relationships/hyperlink" Target="https://www.icongroup.co.jp/51jsci/program/51JSCI_program-1003.pdf" TargetMode="External"/><Relationship Id="rId340" Type="http://schemas.openxmlformats.org/officeDocument/2006/relationships/hyperlink" Target="https://bvent.biomedia.net/gestionale/documenti/evento/2858/programma.pdf" TargetMode="External"/><Relationship Id="rId361" Type="http://schemas.openxmlformats.org/officeDocument/2006/relationships/hyperlink" Target="https://www.ksgd.org/conference/55/index.php?hCode=PROGRAM_03_01" TargetMode="External"/><Relationship Id="rId196" Type="http://schemas.openxmlformats.org/officeDocument/2006/relationships/hyperlink" Target="https://iuis.org/events/the-korean-association-of-immunologists-kai-international-meeting-2022/" TargetMode="External"/><Relationship Id="rId200" Type="http://schemas.openxmlformats.org/officeDocument/2006/relationships/hyperlink" Target="https://www.dgenes.es/wp-content/uploads/PROGRAMA-CONGRESO-ER-2023-24OCT.pdf" TargetMode="External"/><Relationship Id="rId382" Type="http://schemas.openxmlformats.org/officeDocument/2006/relationships/hyperlink" Target="https://www.nsgc.org/Portals/0/Recruitment%20Resources/NSGC_23_AC_VirtualAttendeeGuide_Final.pdf" TargetMode="External"/><Relationship Id="rId417" Type="http://schemas.openxmlformats.org/officeDocument/2006/relationships/hyperlink" Target="https://www.ichg2023.com/wp-content/uploads/2023/02/ICHG-2023-Programme-15112022-MR-Edits.pdf" TargetMode="External"/><Relationship Id="rId16" Type="http://schemas.openxmlformats.org/officeDocument/2006/relationships/hyperlink" Target="https://ipopi.org/wp-content/uploads/2024/06/IPIC5_congress_report_long_WEB.pdf" TargetMode="External"/><Relationship Id="rId221" Type="http://schemas.openxmlformats.org/officeDocument/2006/relationships/hyperlink" Target="https://www.kongreuzmani.com/7-klinik-immunoloji-kongresi.html" TargetMode="External"/><Relationship Id="rId242" Type="http://schemas.openxmlformats.org/officeDocument/2006/relationships/hyperlink" Target="https://www.aaaai.org/Aaaai/media/Media-Library-PDFs/About/am23-FinProg-v21-lores.pdf" TargetMode="External"/><Relationship Id="rId263" Type="http://schemas.openxmlformats.org/officeDocument/2006/relationships/hyperlink" Target="https://wsaai.s3.amazonaws.com/2024/wsaai-program-2024.pdf" TargetMode="External"/><Relationship Id="rId284" Type="http://schemas.openxmlformats.org/officeDocument/2006/relationships/hyperlink" Target="https://www.clingensoc.org/events/7th-joint-dutchuk-clinical-genetics-societies-and-cancer-genetics-groups-conference-february-10-11-2020/" TargetMode="External"/><Relationship Id="rId319" Type="http://schemas.openxmlformats.org/officeDocument/2006/relationships/hyperlink" Target="https://icgsk2024.kgenetics.or.kr/program_day01.asp" TargetMode="External"/><Relationship Id="rId37" Type="http://schemas.openxmlformats.org/officeDocument/2006/relationships/hyperlink" Target="https://waididcongress.org/wordpress/wp-content/uploads/V7-PROGRAMMA-PRELIMINARE-Relatori_compressed-2.pdf" TargetMode="External"/><Relationship Id="rId58" Type="http://schemas.openxmlformats.org/officeDocument/2006/relationships/hyperlink" Target="https://eaaci.org/agenda/eaaci-congress-2024/" TargetMode="External"/><Relationship Id="rId79" Type="http://schemas.openxmlformats.org/officeDocument/2006/relationships/hyperlink" Target="https://erica-rd.eu/wp-content/uploads/2021/05/ERICA-GA2021.pdf" TargetMode="External"/><Relationship Id="rId102" Type="http://schemas.openxmlformats.org/officeDocument/2006/relationships/hyperlink" Target="https://www.allergy.org.au/images/docs/conf2023/ASCIA2023_PROGRAM_BOOK_FINAL.pdf" TargetMode="External"/><Relationship Id="rId123" Type="http://schemas.openxmlformats.org/officeDocument/2006/relationships/hyperlink" Target="https://www.csi-sci.ca/_Library/_documents/CSI_Program_at_a_Glance-final.pdf" TargetMode="External"/><Relationship Id="rId144" Type="http://schemas.openxmlformats.org/officeDocument/2006/relationships/hyperlink" Target="https://eci2024.org/wp-content/uploads/2024/08/ECI_2024_PROGRAMMA_DEF-20.pdf" TargetMode="External"/><Relationship Id="rId330" Type="http://schemas.openxmlformats.org/officeDocument/2006/relationships/hyperlink" Target="https://www.sbgm.org.br/Uploads/xk93Mzjkg1_28_08_2023-09_17_52_69.pdf" TargetMode="External"/><Relationship Id="rId90" Type="http://schemas.openxmlformats.org/officeDocument/2006/relationships/hyperlink" Target="https://ercalgroup.org/wp-content/uploads/2023/06/UPDT-ENGLISH.pdf" TargetMode="External"/><Relationship Id="rId165" Type="http://schemas.openxmlformats.org/officeDocument/2006/relationships/hyperlink" Target="https://www2.aeplan.co.jp/jsi2023/wp-content/uploads/2023/12/program_final_20231227.pdf" TargetMode="External"/><Relationship Id="rId186" Type="http://schemas.openxmlformats.org/officeDocument/2006/relationships/hyperlink" Target="https://kaaaci.or.kr/2024s/program/detail.php" TargetMode="External"/><Relationship Id="rId351" Type="http://schemas.openxmlformats.org/officeDocument/2006/relationships/hyperlink" Target="https://www.asgct.org/global/am20files/asgct2020fullprogramfinal.aspx?_ga=" TargetMode="External"/><Relationship Id="rId372" Type="http://schemas.openxmlformats.org/officeDocument/2006/relationships/hyperlink" Target="http://gsj.kuma-u.jp/program/index.html" TargetMode="External"/><Relationship Id="rId393" Type="http://schemas.openxmlformats.org/officeDocument/2006/relationships/hyperlink" Target="http://www.ksmg.or.kr/html/?pmode=acprevview&amp;smode=viewProgram&amp;MMC_pid=16&amp;seq=102" TargetMode="External"/><Relationship Id="rId407" Type="http://schemas.openxmlformats.org/officeDocument/2006/relationships/hyperlink" Target="https://conference.agcts.org.au/program/" TargetMode="External"/><Relationship Id="rId211" Type="http://schemas.openxmlformats.org/officeDocument/2006/relationships/hyperlink" Target="https://seicap.es/wp-content/uploads/2022/05/Actas-premios-comunicaciones-XLV-congreso-SEICAP-2021.pdf" TargetMode="External"/><Relationship Id="rId232" Type="http://schemas.openxmlformats.org/officeDocument/2006/relationships/hyperlink" Target="https://bshi.org.uk/wp-content/uploads/2023/10/BSHI-2023-Programme-FINAL.pdf" TargetMode="External"/><Relationship Id="rId253" Type="http://schemas.openxmlformats.org/officeDocument/2006/relationships/hyperlink" Target="https://cdn.ymaws.com/www.ashi-hla.org/resource/resmgr/docs/meetings_annual/website_program_9.5.pdf" TargetMode="External"/><Relationship Id="rId274" Type="http://schemas.openxmlformats.org/officeDocument/2006/relationships/hyperlink" Target="https://genetics-gsa.org/celegans-2021/wp-content/uploads/sites/33/2021/06/210614-Worm21-Program-Book-v1.pdf" TargetMode="External"/><Relationship Id="rId295" Type="http://schemas.openxmlformats.org/officeDocument/2006/relationships/hyperlink" Target="https://genetics.org.uk/events/genetics-society-2020-award-lectures/" TargetMode="External"/><Relationship Id="rId309" Type="http://schemas.openxmlformats.org/officeDocument/2006/relationships/hyperlink" Target="https://www.geyseco.es/genetica22/index.php?go=programa" TargetMode="External"/><Relationship Id="rId27" Type="http://schemas.openxmlformats.org/officeDocument/2006/relationships/hyperlink" Target="https://www.wirm.ch/wp-content/uploads/2024/08/FinalProgram2020oAbstracts_digitalWIRM_Weblow.pdf" TargetMode="External"/><Relationship Id="rId48" Type="http://schemas.openxmlformats.org/officeDocument/2006/relationships/hyperlink" Target="https://www.apaaaci2023.com/scientific-program.php" TargetMode="External"/><Relationship Id="rId69" Type="http://schemas.openxmlformats.org/officeDocument/2006/relationships/hyperlink" Target="https://www.ejprarediseases.org/wp-content/uploads/2023/10/erica-ejp-rd-programme-2023.pdf" TargetMode="External"/><Relationship Id="rId113" Type="http://schemas.openxmlformats.org/officeDocument/2006/relationships/hyperlink" Target="https://neuroimmuno2024.sbi.org.br/" TargetMode="External"/><Relationship Id="rId134" Type="http://schemas.openxmlformats.org/officeDocument/2006/relationships/hyperlink" Target="https://fondation-maladiesrares.org/en/evenement/colloque-scientifique-national-2022-2/" TargetMode="External"/><Relationship Id="rId320" Type="http://schemas.openxmlformats.org/officeDocument/2006/relationships/hyperlink" Target="http://icgsk2023.kgenetics.or.kr/program_day01.asp" TargetMode="External"/><Relationship Id="rId80" Type="http://schemas.openxmlformats.org/officeDocument/2006/relationships/hyperlink" Target="https://aliber.org/web/2023/03/13/memoria-tecnica-foro-de-alto-nivel-x-encuentro-iberoamericano-de-enfermedades-raras-aliber/" TargetMode="External"/><Relationship Id="rId155" Type="http://schemas.openxmlformats.org/officeDocument/2006/relationships/hyperlink" Target="https://siica.it/wp-content/uploads/2022/07/Programma_XXXIV-CONGRESSO-NAZIONALE-SIAAIC_07.07.22.pdf" TargetMode="External"/><Relationship Id="rId176" Type="http://schemas.openxmlformats.org/officeDocument/2006/relationships/hyperlink" Target="https://www.icongroup.co.jp/50jsci/program/program_0906.pdf" TargetMode="External"/><Relationship Id="rId197" Type="http://schemas.openxmlformats.org/officeDocument/2006/relationships/hyperlink" Target="https://iuis.org/events/the-korean-association-of-immunologists-international-meeting-2021-hybrid/" TargetMode="External"/><Relationship Id="rId341" Type="http://schemas.openxmlformats.org/officeDocument/2006/relationships/hyperlink" Target="https://alagenet.org/alag2024/programa-por-dia/" TargetMode="External"/><Relationship Id="rId362" Type="http://schemas.openxmlformats.org/officeDocument/2006/relationships/hyperlink" Target="https://www.ksgd.org/conference/53/index.php?hCode=PROGRAM_03_01" TargetMode="External"/><Relationship Id="rId383" Type="http://schemas.openxmlformats.org/officeDocument/2006/relationships/hyperlink" Target="https://www.nsgc.org/Portals/0/Docs/AnnualConference/2022/NSGC_994867-22_AC_AttendeeGuide_V4_96PPI.pdf" TargetMode="External"/><Relationship Id="rId418" Type="http://schemas.openxmlformats.org/officeDocument/2006/relationships/hyperlink" Target="https://ipopi.org/wp-content/uploads/2024/07/IPIC2023_congress_report_FINAL.pdf" TargetMode="External"/><Relationship Id="rId201" Type="http://schemas.openxmlformats.org/officeDocument/2006/relationships/hyperlink" Target="https://www.dgenes.es/wp-content/uploads/PROGRAMA-DEFINITIVO-CONGRESO-2022.pdf" TargetMode="External"/><Relationship Id="rId222" Type="http://schemas.openxmlformats.org/officeDocument/2006/relationships/hyperlink" Target="https://www.kongreuzmani.com/6-klinik-immunoloji-kongresi.html" TargetMode="External"/><Relationship Id="rId243" Type="http://schemas.openxmlformats.org/officeDocument/2006/relationships/hyperlink" Target="https://plan.core-apps.com/aaaai2022/events" TargetMode="External"/><Relationship Id="rId264" Type="http://schemas.openxmlformats.org/officeDocument/2006/relationships/hyperlink" Target="https://wsaai.s3.amazonaws.com/2023/wsaai-program-2023.pdf" TargetMode="External"/><Relationship Id="rId285" Type="http://schemas.openxmlformats.org/officeDocument/2006/relationships/hyperlink" Target="https://annualmeeting.asgct.org/program/session-paths/gene-editing" TargetMode="External"/><Relationship Id="rId17" Type="http://schemas.openxmlformats.org/officeDocument/2006/relationships/hyperlink" Target="https://fams-apps.kit-group.org/iuis2023/en-GB/pag?viewType=calendar&amp;view=vertical&amp;viewSize=L" TargetMode="External"/><Relationship Id="rId38" Type="http://schemas.openxmlformats.org/officeDocument/2006/relationships/hyperlink" Target="https://www.ekmud.org.tr/etkinlik/251-4th-waidid-congress" TargetMode="External"/><Relationship Id="rId59" Type="http://schemas.openxmlformats.org/officeDocument/2006/relationships/hyperlink" Target="https://eaaci2023.process.y-congress.com/ScientificProcess/Data/67/386/print/EAACI%202023-en.pdf" TargetMode="External"/><Relationship Id="rId103" Type="http://schemas.openxmlformats.org/officeDocument/2006/relationships/hyperlink" Target="https://www.allergy.org.au/images/conf/ASCIA2022_PROGRAM_BOOK.pdf" TargetMode="External"/><Relationship Id="rId124" Type="http://schemas.openxmlformats.org/officeDocument/2006/relationships/hyperlink" Target="https://www.csi-sci.ca/_Library/_documents/ProgramDetail33rdCSI_Virtual_Conference.pdf" TargetMode="External"/><Relationship Id="rId310" Type="http://schemas.openxmlformats.org/officeDocument/2006/relationships/hyperlink" Target="https://www.geyseco.es/genetica20/index.php?go=programa" TargetMode="External"/><Relationship Id="rId70" Type="http://schemas.openxmlformats.org/officeDocument/2006/relationships/hyperlink" Target="https://www.react-congress.org/2023/wp-content/uploads/React_Congress_Brochure_2023.pdf" TargetMode="External"/><Relationship Id="rId91" Type="http://schemas.openxmlformats.org/officeDocument/2006/relationships/hyperlink" Target="https://www.congresoidp.com.ar/" TargetMode="External"/><Relationship Id="rId145" Type="http://schemas.openxmlformats.org/officeDocument/2006/relationships/hyperlink" Target="https://iuis.org/events/6th-european-congress-of-immunology-eci-2021/" TargetMode="External"/><Relationship Id="rId166" Type="http://schemas.openxmlformats.org/officeDocument/2006/relationships/hyperlink" Target="https://www2.aeplan.co.jp/jsi2022/wp-content/uploads/2022/12/Program.pdf" TargetMode="External"/><Relationship Id="rId187" Type="http://schemas.openxmlformats.org/officeDocument/2006/relationships/hyperlink" Target="https://kaaaci.or.kr/2023s/program/glance.php" TargetMode="External"/><Relationship Id="rId331" Type="http://schemas.openxmlformats.org/officeDocument/2006/relationships/hyperlink" Target="https://www.sbgm.org.br/Uploads/ChDFhvs6iv_19_10_2022-16_27_39_79.pdf" TargetMode="External"/><Relationship Id="rId352" Type="http://schemas.openxmlformats.org/officeDocument/2006/relationships/hyperlink" Target="https://sbegg.org/viii-cbegg/" TargetMode="External"/><Relationship Id="rId373" Type="http://schemas.openxmlformats.org/officeDocument/2006/relationships/hyperlink" Target="https://square.umin.ac.jp/jsgct2024/doc/program-jsgct2024.pdf?2407261521" TargetMode="External"/><Relationship Id="rId394" Type="http://schemas.openxmlformats.org/officeDocument/2006/relationships/hyperlink" Target="http://www.ksmg.or.kr/html/?pmode=acprevview&amp;smode=viewProgram&amp;MMC_pid=16&amp;seq=97" TargetMode="External"/><Relationship Id="rId408" Type="http://schemas.openxmlformats.org/officeDocument/2006/relationships/hyperlink" Target="https://icmsmeetings.eventsair.com/asscragcts-2022/agenda" TargetMode="External"/><Relationship Id="rId1" Type="http://schemas.openxmlformats.org/officeDocument/2006/relationships/hyperlink" Target="https://www.dgenes.es/wp-content/uploads/Normas-de-Posteres-y-Comunicaciones-2024.pdf" TargetMode="External"/><Relationship Id="rId212" Type="http://schemas.openxmlformats.org/officeDocument/2006/relationships/hyperlink" Target="https://seicap.es/wp-content/uploads/2022/04/libro-congreso-seicap-2020_97701.pdf" TargetMode="External"/><Relationship Id="rId233" Type="http://schemas.openxmlformats.org/officeDocument/2006/relationships/hyperlink" Target="https://bshi.org.uk/wp-content/uploads/2022/12/BSHI-Conference-2022-Programme.pdf" TargetMode="External"/><Relationship Id="rId254" Type="http://schemas.openxmlformats.org/officeDocument/2006/relationships/hyperlink" Target="https://cdn.ymaws.com/www.ashi-hla.org/resource/resmgr/docs/meetings_annual/vgamprogramfull.pdf" TargetMode="External"/><Relationship Id="rId28" Type="http://schemas.openxmlformats.org/officeDocument/2006/relationships/hyperlink" Target="https://www.terrapinn.com/conference/world-orphan-drug-congress/agenda.stm" TargetMode="External"/><Relationship Id="rId49" Type="http://schemas.openxmlformats.org/officeDocument/2006/relationships/hyperlink" Target="https://www.apaaaci2023.com/apaaaci2022.php" TargetMode="External"/><Relationship Id="rId114" Type="http://schemas.openxmlformats.org/officeDocument/2006/relationships/hyperlink" Target="https://immuno2023.sbi.org.br/wp-content/uploads/2023/09/SCIENTIFIC_PROGRAM_IMMUNO_2023_2609.pdf" TargetMode="External"/><Relationship Id="rId275" Type="http://schemas.openxmlformats.org/officeDocument/2006/relationships/hyperlink" Target="https://genetics-gsa.org/yeast-2022/wp-content/uploads/sites/38/2022/08/Yeast22-Program-Book.pdf" TargetMode="External"/><Relationship Id="rId296" Type="http://schemas.openxmlformats.org/officeDocument/2006/relationships/hyperlink" Target="https://apps.m-anage.com/eshg2024/en-GB/pag" TargetMode="External"/><Relationship Id="rId300" Type="http://schemas.openxmlformats.org/officeDocument/2006/relationships/hyperlink" Target="https://www.thermofisher.com/in/en/home/products-and-services/promotions/eshg20.html" TargetMode="External"/><Relationship Id="rId60" Type="http://schemas.openxmlformats.org/officeDocument/2006/relationships/hyperlink" Target="https://eaaci2022.process.y-congress.com/scientificProcess/Data/67/256/print/EAACI%20Hybrid%20Congress%202022-en.pdf" TargetMode="External"/><Relationship Id="rId81" Type="http://schemas.openxmlformats.org/officeDocument/2006/relationships/hyperlink" Target="https://aliber.org/web/2021/12/02/aliber-realiza-con-exito-el-ix-encuentro-iberoamericano-de-enfermedades-raras/" TargetMode="External"/><Relationship Id="rId135" Type="http://schemas.openxmlformats.org/officeDocument/2006/relationships/hyperlink" Target="https://fondation-maladiesrares.org/en/evenement/colloque-scientifique-2021/" TargetMode="External"/><Relationship Id="rId156" Type="http://schemas.openxmlformats.org/officeDocument/2006/relationships/hyperlink" Target="https://eventi.infomed-online.it/wp-content/uploads/2021/10/14.07_Pubblicazione_Programma-Preliminare-XXXIII-Congresso-SIAAIC-2.pdf" TargetMode="External"/><Relationship Id="rId177" Type="http://schemas.openxmlformats.org/officeDocument/2006/relationships/hyperlink" Target="https://site2.convention.co.jp/49jsci/program/program_1020.pdf" TargetMode="External"/><Relationship Id="rId198" Type="http://schemas.openxmlformats.org/officeDocument/2006/relationships/hyperlink" Target="https://www.kaimm.org/abstract/2020_fall/program/scientific.html" TargetMode="External"/><Relationship Id="rId321" Type="http://schemas.openxmlformats.org/officeDocument/2006/relationships/hyperlink" Target="http://icgsk2022.kgenetics.or.kr/program_day01.asp" TargetMode="External"/><Relationship Id="rId342" Type="http://schemas.openxmlformats.org/officeDocument/2006/relationships/hyperlink" Target="https://sag.org.ar/congreso2023/index.php/programa-cientifico/" TargetMode="External"/><Relationship Id="rId363" Type="http://schemas.openxmlformats.org/officeDocument/2006/relationships/hyperlink" Target="https://www.ksgd.org/conference/49/" TargetMode="External"/><Relationship Id="rId384" Type="http://schemas.openxmlformats.org/officeDocument/2006/relationships/hyperlink" Target="https://www.nsgc.org/Portals/0/NSGC%2040th%20Annual%20Conference%20Program%20Book.pdf" TargetMode="External"/><Relationship Id="rId419" Type="http://schemas.openxmlformats.org/officeDocument/2006/relationships/hyperlink" Target="https://main.fpid.org/product/pid_newport_24/" TargetMode="External"/><Relationship Id="rId202" Type="http://schemas.openxmlformats.org/officeDocument/2006/relationships/hyperlink" Target="https://www.dgenes.es/wp-content/uploads/PROGRAMA-CONGRESO-29oc.pdf" TargetMode="External"/><Relationship Id="rId223" Type="http://schemas.openxmlformats.org/officeDocument/2006/relationships/hyperlink" Target="https://alerjikongresi.com/bilimsel-program/" TargetMode="External"/><Relationship Id="rId244" Type="http://schemas.openxmlformats.org/officeDocument/2006/relationships/hyperlink" Target="https://aaaai.planion.com/Web.User/SearchSessions?ACCOUNT=AAAAI&amp;CONF=AM2021&amp;USERPID=PUBLIC&amp;ssoOverride=OFF&amp;MOPT=Search_Sessions&amp;standalone=YES" TargetMode="External"/><Relationship Id="rId18" Type="http://schemas.openxmlformats.org/officeDocument/2006/relationships/hyperlink" Target="https://www.rarediseasesinternational.org/rdi-membership-meeting-2024-wodc-europe/" TargetMode="External"/><Relationship Id="rId39" Type="http://schemas.openxmlformats.org/officeDocument/2006/relationships/hyperlink" Target="https://www.waidid.org/uploads/media/PROGRAMMA_FINAL%20FINAL_compressed.pdf" TargetMode="External"/><Relationship Id="rId265" Type="http://schemas.openxmlformats.org/officeDocument/2006/relationships/hyperlink" Target="https://wsaai.s3.amazonaws.com/2022/2022-wsaai-program.pdf" TargetMode="External"/><Relationship Id="rId286" Type="http://schemas.openxmlformats.org/officeDocument/2006/relationships/hyperlink" Target="https://annualmeeting.asgct.org/global/am23/asgct23_full_program_pdf.aspx?_ga=2.186618410.2070095320.1726487190-1055338226.1726487190&amp;_gl=1*1xierbw*_ga*MTA1NTMzODIyNi4xNzI2NDg3MTkw*_ga_Q37QKR6TCJ*MTcyNjQ4NzE4OS4xLjEuMTcyNjQ4ODMwNi4wLjAuMA.." TargetMode="External"/><Relationship Id="rId50" Type="http://schemas.openxmlformats.org/officeDocument/2006/relationships/hyperlink" Target="https://www.esanum.com/apaaaci-2021-international-conference" TargetMode="External"/><Relationship Id="rId104" Type="http://schemas.openxmlformats.org/officeDocument/2006/relationships/hyperlink" Target="https://www.allergy.org.au/images/conf/ASCIA2021_Virtual_Program_Book_1-3_September.pdf" TargetMode="External"/><Relationship Id="rId125" Type="http://schemas.openxmlformats.org/officeDocument/2006/relationships/hyperlink" Target="https://site.pheedloop.com/event/ASM2024/schedule" TargetMode="External"/><Relationship Id="rId146" Type="http://schemas.openxmlformats.org/officeDocument/2006/relationships/hyperlink" Target="https://events.dak2024.smart-abstract.com/" TargetMode="External"/><Relationship Id="rId167" Type="http://schemas.openxmlformats.org/officeDocument/2006/relationships/hyperlink" Target="https://www2.aeplan.co.jp/jsi2021/images/common/program_of_the_japanese_society_for_immunology_jsi_vol50.pdf" TargetMode="External"/><Relationship Id="rId188" Type="http://schemas.openxmlformats.org/officeDocument/2006/relationships/hyperlink" Target="https://www.kaaaci.or.kr/2022s/content/program.php" TargetMode="External"/><Relationship Id="rId311" Type="http://schemas.openxmlformats.org/officeDocument/2006/relationships/hyperlink" Target="https://seagen.org/vi-jornada-espanola-de-asesoramiento-genetico/" TargetMode="External"/><Relationship Id="rId332" Type="http://schemas.openxmlformats.org/officeDocument/2006/relationships/hyperlink" Target="https://www.sbgm.org.br/Uploads/M5T3KBFmI2_05_07_2021-15_21_49_26.pdf" TargetMode="External"/><Relationship Id="rId353" Type="http://schemas.openxmlformats.org/officeDocument/2006/relationships/hyperlink" Target="https://sbegg.org/vem-ai-estamos-chegando-perto-do-vii-cbegg/" TargetMode="External"/><Relationship Id="rId374" Type="http://schemas.openxmlformats.org/officeDocument/2006/relationships/hyperlink" Target="https://www.c-linkage.co.jp/jsgct2023/program.html" TargetMode="External"/><Relationship Id="rId395" Type="http://schemas.openxmlformats.org/officeDocument/2006/relationships/hyperlink" Target="http://www.ksmg.or.kr/html/?pmode=acprevview&amp;smode=viewProgram&amp;MMC_pid=16&amp;seq=91" TargetMode="External"/><Relationship Id="rId409" Type="http://schemas.openxmlformats.org/officeDocument/2006/relationships/hyperlink" Target="https://events.eventact.com/upsrl/35717/WebSitePage/uploads/HGM_2024_Full_programme_A4-0804_compressed.pdf?webid=7438875120" TargetMode="External"/><Relationship Id="rId71" Type="http://schemas.openxmlformats.org/officeDocument/2006/relationships/hyperlink" Target="https://www.react-congress.org/2021/wp-content/uploads/Abstract_book_REACTxIRDIRCongress_2021.pdf" TargetMode="External"/><Relationship Id="rId92" Type="http://schemas.openxmlformats.org/officeDocument/2006/relationships/hyperlink" Target="https://aapidp.com.ar/noticias_detalle.php?IdNoticia=1679" TargetMode="External"/><Relationship Id="rId213" Type="http://schemas.openxmlformats.org/officeDocument/2006/relationships/hyperlink" Target="https://sei2023.es/images/site/PROGRAMA_SEI_2023_A4.pdf" TargetMode="External"/><Relationship Id="rId234" Type="http://schemas.openxmlformats.org/officeDocument/2006/relationships/hyperlink" Target="https://az659834.vo.msecnd.net/eventsairwesteuprod/production-fitwise-public/96ac5a3843cd48889742b7f1373fabe2" TargetMode="External"/><Relationship Id="rId420" Type="http://schemas.openxmlformats.org/officeDocument/2006/relationships/hyperlink" Target="https://seicap.es/wp-content/uploads/2024/05/PROGRAMA-SEICAP-2024_V4.pdf" TargetMode="External"/><Relationship Id="rId2" Type="http://schemas.openxmlformats.org/officeDocument/2006/relationships/hyperlink" Target="https://www.focisnet.org/wp-content/uploads/FOCIS2024_Program_FINAL.pdf" TargetMode="External"/><Relationship Id="rId29" Type="http://schemas.openxmlformats.org/officeDocument/2006/relationships/hyperlink" Target="https://www.terrapinn.com/template/live/go/10848/22783" TargetMode="External"/><Relationship Id="rId255" Type="http://schemas.openxmlformats.org/officeDocument/2006/relationships/hyperlink" Target="https://congresoercal.com/es/congreso-de-enfermedades-raras-agenda/" TargetMode="External"/><Relationship Id="rId276" Type="http://schemas.openxmlformats.org/officeDocument/2006/relationships/hyperlink" Target="https://genetics-gsa.org/parasitology-2020/wp-content/uploads/sites/31/2020/09/MPM-2020-Program-Book-Final-1.pdf" TargetMode="External"/><Relationship Id="rId297" Type="http://schemas.openxmlformats.org/officeDocument/2006/relationships/hyperlink" Target="https://eshg2018.floq.live/event/eshg2023/dailyprogramme" TargetMode="External"/><Relationship Id="rId40" Type="http://schemas.openxmlformats.org/officeDocument/2006/relationships/hyperlink" Target="https://rare-2022.com/congress-program/" TargetMode="External"/><Relationship Id="rId115" Type="http://schemas.openxmlformats.org/officeDocument/2006/relationships/hyperlink" Target="https://congressos.sbi.org.br/immuno2022/storage/programa-final-220923.pdf" TargetMode="External"/><Relationship Id="rId136" Type="http://schemas.openxmlformats.org/officeDocument/2006/relationships/hyperlink" Target="https://fondation-maladiesrares.org/en/evenement/colloque-scientifique-2020/" TargetMode="External"/><Relationship Id="rId157" Type="http://schemas.openxmlformats.org/officeDocument/2006/relationships/hyperlink" Target="https://siica.it/wp-content/uploads/2023/05/Programma_SIICA_2023-1.pdf" TargetMode="External"/><Relationship Id="rId178" Type="http://schemas.openxmlformats.org/officeDocument/2006/relationships/hyperlink" Target="https://site2.convention.co.jp/48jsci/images/program1009.pdf" TargetMode="External"/><Relationship Id="rId301" Type="http://schemas.openxmlformats.org/officeDocument/2006/relationships/hyperlink" Target="https://tibbigenetik2024.com/program" TargetMode="External"/><Relationship Id="rId322" Type="http://schemas.openxmlformats.org/officeDocument/2006/relationships/hyperlink" Target="http://icgsk2021.kgenetics.or.kr/program_day01.asp" TargetMode="External"/><Relationship Id="rId343" Type="http://schemas.openxmlformats.org/officeDocument/2006/relationships/hyperlink" Target="https://sag.org.ar/sitio/l-congreso-argentino-de-genetica-y-ii-jornadas-regionales-sag-nea/" TargetMode="External"/><Relationship Id="rId364" Type="http://schemas.openxmlformats.org/officeDocument/2006/relationships/hyperlink" Target="https://www.macc.jp/temp/jsgc48_program_hp.pdf" TargetMode="External"/><Relationship Id="rId61" Type="http://schemas.openxmlformats.org/officeDocument/2006/relationships/hyperlink" Target="https://eaaci.org/events_congress/eaaci-hybrid-congress-2021/scientific-programme/scientific-programme/" TargetMode="External"/><Relationship Id="rId82" Type="http://schemas.openxmlformats.org/officeDocument/2006/relationships/hyperlink" Target="https://aliber.org/web/2020/07/09/el-viii-congreso-encuentro-iberoamericano-de-enfermedades-raras-huerfanas-o-poco-frecuentes-este-ano-sera-online/" TargetMode="External"/><Relationship Id="rId199" Type="http://schemas.openxmlformats.org/officeDocument/2006/relationships/hyperlink" Target="https://cytokines2024.org/program/scientific.php" TargetMode="External"/><Relationship Id="rId203" Type="http://schemas.openxmlformats.org/officeDocument/2006/relationships/hyperlink" Target="https://www.dgenes.es/wp-content/uploads/programa-congreso-23nov.pdf" TargetMode="External"/><Relationship Id="rId385" Type="http://schemas.openxmlformats.org/officeDocument/2006/relationships/hyperlink" Target="https://www.nsgc.org/Portals/0/Docs/AnnualConference/2020/NSGC%202020%20Virtual%20Annual%20Conference%20Final%20Program.pdf" TargetMode="External"/><Relationship Id="rId19" Type="http://schemas.openxmlformats.org/officeDocument/2006/relationships/hyperlink" Target="https://www.rarediseasesinternational.org/annual-meeting/" TargetMode="External"/><Relationship Id="rId224" Type="http://schemas.openxmlformats.org/officeDocument/2006/relationships/hyperlink" Target="https://allerji.kongresi.info/docs/Allerji%202023%20program.pdf?a=200" TargetMode="External"/><Relationship Id="rId245" Type="http://schemas.openxmlformats.org/officeDocument/2006/relationships/hyperlink" Target="https://plan.core-apps.com/tristar_aaaai20/events" TargetMode="External"/><Relationship Id="rId266" Type="http://schemas.openxmlformats.org/officeDocument/2006/relationships/hyperlink" Target="https://www.emedevents.com/c/medical-conferences-2020/western-society-of-allergy-asthma-and-immunology-wsaai-58th-annual-scientific-session" TargetMode="External"/><Relationship Id="rId287" Type="http://schemas.openxmlformats.org/officeDocument/2006/relationships/hyperlink" Target="https://annualmeeting.asgct.org/global/am22/asgct_am22_program_guide.aspx?_ga=2.18340282.2070095320.1726487190-1055338226.1726487190&amp;_gl=1*o2uylu*_ga*MTA1NTMzODIyNi4xNzI2NDg3MTkw*_ga_Q37QKR6TCJ*MTcyNjQ4NzE4OS4xLjEuMTcyNjQ4ODMwNi4wLjAuMA.." TargetMode="External"/><Relationship Id="rId410" Type="http://schemas.openxmlformats.org/officeDocument/2006/relationships/hyperlink" Target="https://www.emedevents.com/c/medical-conferences-2023/human-genome-meeting-hgm-2023" TargetMode="External"/><Relationship Id="rId30" Type="http://schemas.openxmlformats.org/officeDocument/2006/relationships/hyperlink" Target="https://alliancerm.org/event/world-orphan-drug-congress-2022/" TargetMode="External"/><Relationship Id="rId105" Type="http://schemas.openxmlformats.org/officeDocument/2006/relationships/hyperlink" Target="https://www.immunology.org.au/ASI-2024/program/" TargetMode="External"/><Relationship Id="rId126" Type="http://schemas.openxmlformats.org/officeDocument/2006/relationships/hyperlink" Target="https://www.emedevents.com/medical-hybrid-events-2023/78th-annual-canadian-society-of-allergy-and-clinical-immunology-csaci-scientific-meeting-2023" TargetMode="External"/><Relationship Id="rId147" Type="http://schemas.openxmlformats.org/officeDocument/2006/relationships/hyperlink" Target="https://allergiekongress.de/wp-content/uploads/2023/09/DAK23_Hauptprogramm_web_14_09_23.pdf" TargetMode="External"/><Relationship Id="rId168" Type="http://schemas.openxmlformats.org/officeDocument/2006/relationships/hyperlink" Target="https://icongroup.co.jp/49immunology/english/program/" TargetMode="External"/><Relationship Id="rId312" Type="http://schemas.openxmlformats.org/officeDocument/2006/relationships/hyperlink" Target="https://seagen.org/wp-content/uploads/2024/07/Jornada-Cancer-Hereditari-programa-01072024.pdf" TargetMode="External"/><Relationship Id="rId333" Type="http://schemas.openxmlformats.org/officeDocument/2006/relationships/hyperlink" Target="https://www.bsgct.org/_files/ugd/0f1a36_364bd3686d4b464487e1f070cc1ff401.pdf" TargetMode="External"/><Relationship Id="rId354" Type="http://schemas.openxmlformats.org/officeDocument/2006/relationships/hyperlink" Target="https://www.isong.org/2023-WC-Agenda" TargetMode="External"/><Relationship Id="rId51" Type="http://schemas.openxmlformats.org/officeDocument/2006/relationships/hyperlink" Target="https://www.ispid.org.in/downloads/APSID%20Congress%20brochure.pdf" TargetMode="External"/><Relationship Id="rId72" Type="http://schemas.openxmlformats.org/officeDocument/2006/relationships/hyperlink" Target="https://irdirc.org/wp-content/uploads/2022/11/Agenda-Conference-on-Clinical-Research-Networks_Vf.pdf" TargetMode="External"/><Relationship Id="rId93" Type="http://schemas.openxmlformats.org/officeDocument/2006/relationships/hyperlink" Target="https://aapidp.com.ar/noticias_detalle.php?IdNoticia=1690" TargetMode="External"/><Relationship Id="rId189" Type="http://schemas.openxmlformats.org/officeDocument/2006/relationships/hyperlink" Target="https://www.kaaaci.or.kr/2021s/content/program.php" TargetMode="External"/><Relationship Id="rId375" Type="http://schemas.openxmlformats.org/officeDocument/2006/relationships/hyperlink" Target="https://www.c-linkage.co.jp/jsgct2022/program.html" TargetMode="External"/><Relationship Id="rId396" Type="http://schemas.openxmlformats.org/officeDocument/2006/relationships/hyperlink" Target="https://broadinstitute.swoogo.com/ga4gh-connect-2024/agenda" TargetMode="External"/><Relationship Id="rId3" Type="http://schemas.openxmlformats.org/officeDocument/2006/relationships/hyperlink" Target="https://www.focisnet.org/wp-content/uploads/FOCIS-2023-Program-1.pdf" TargetMode="External"/><Relationship Id="rId214" Type="http://schemas.openxmlformats.org/officeDocument/2006/relationships/hyperlink" Target="https://sei2022.com/images/PROGRAMA_SEI_2022_a4.pdf" TargetMode="External"/><Relationship Id="rId235" Type="http://schemas.openxmlformats.org/officeDocument/2006/relationships/hyperlink" Target="https://cdn.eventsforce.net/files/ef-divra5y5642a/website/13/bsi_congress_2023_programme_overview.pdf" TargetMode="External"/><Relationship Id="rId256" Type="http://schemas.openxmlformats.org/officeDocument/2006/relationships/hyperlink" Target="https://congresoercal.com/eventos-pasados/2023/" TargetMode="External"/><Relationship Id="rId277" Type="http://schemas.openxmlformats.org/officeDocument/2006/relationships/hyperlink" Target="https://eppro02.ativ.me/src/EventPilot/php/express/web/planner.php?id=ASHG24" TargetMode="External"/><Relationship Id="rId298" Type="http://schemas.openxmlformats.org/officeDocument/2006/relationships/hyperlink" Target="https://2022.eshg.org/programme-at-a-glance/monday/" TargetMode="External"/><Relationship Id="rId400" Type="http://schemas.openxmlformats.org/officeDocument/2006/relationships/hyperlink" Target="https://aegh.org/wp-content/uploads/2021/03/ECA-2021-Flyer.pdf" TargetMode="External"/><Relationship Id="rId421" Type="http://schemas.openxmlformats.org/officeDocument/2006/relationships/printerSettings" Target="../printerSettings/printerSettings4.bin"/><Relationship Id="rId116" Type="http://schemas.openxmlformats.org/officeDocument/2006/relationships/hyperlink" Target="https://www.kongreuzmani.com/45-annual-meeting-of-the-brazilian-society-for-immunology-immuno-2020.html" TargetMode="External"/><Relationship Id="rId137" Type="http://schemas.openxmlformats.org/officeDocument/2006/relationships/hyperlink" Target="https://alliance-maladies-rares.org/wp-content/uploads/2024/05/Programme-Congres-2024-Officiel.pdf" TargetMode="External"/><Relationship Id="rId158" Type="http://schemas.openxmlformats.org/officeDocument/2006/relationships/hyperlink" Target="https://siica.it/wp-content/uploads/2022/01/siica2022-prog-0523-1.pdf" TargetMode="External"/><Relationship Id="rId302" Type="http://schemas.openxmlformats.org/officeDocument/2006/relationships/hyperlink" Target="https://yonetim.citius.technology/files/kurum/kurum75/menu/tibbi-genetik-2022-bildiri-kitabi-2.pdf" TargetMode="External"/><Relationship Id="rId323" Type="http://schemas.openxmlformats.org/officeDocument/2006/relationships/hyperlink" Target="https://www.ibric.org/bric/bioschedule/bio-schedule-event.do?mode=view&amp;articleNo=9529817&amp;title=%5B2020+ICGSK-APCC7%5D+International+Conference+of+the+Genetics+Society+of+Korea+2020+%26+Asia-Pacific+Chromosome+Colloquium+7" TargetMode="External"/><Relationship Id="rId344" Type="http://schemas.openxmlformats.org/officeDocument/2006/relationships/hyperlink" Target="https://alagenet.org/alag2021/en/scientific-program/" TargetMode="External"/><Relationship Id="rId20" Type="http://schemas.openxmlformats.org/officeDocument/2006/relationships/hyperlink" Target="https://www.rarediseasesinternational.org/wp-content/uploads/2022/04/Membership-meeting-Agenda-2022-1.pdf" TargetMode="External"/><Relationship Id="rId41" Type="http://schemas.openxmlformats.org/officeDocument/2006/relationships/hyperlink" Target="https://rare2023.com/program-timetable/" TargetMode="External"/><Relationship Id="rId62" Type="http://schemas.openxmlformats.org/officeDocument/2006/relationships/hyperlink" Target="https://eaaci.org/documents/congress/2020/EAACI_Digital_Congress_2020_PDF_Programme-JUNE%206-PM.pdf" TargetMode="External"/><Relationship Id="rId83" Type="http://schemas.openxmlformats.org/officeDocument/2006/relationships/hyperlink" Target="https://lasid.org/meeting-2023/" TargetMode="External"/><Relationship Id="rId179" Type="http://schemas.openxmlformats.org/officeDocument/2006/relationships/hyperlink" Target="https://site2.convention.co.jp/61jspaci/program/" TargetMode="External"/><Relationship Id="rId365" Type="http://schemas.openxmlformats.org/officeDocument/2006/relationships/hyperlink" Target="https://macc.jp/temp/47program.pdf" TargetMode="External"/><Relationship Id="rId386" Type="http://schemas.openxmlformats.org/officeDocument/2006/relationships/hyperlink" Target="https://www.acmgeducation.net/Public/Catalog/Details.aspx?id=o%2bY2f4yL8iktguLfTznYBg%3d%3d&amp;returnurl=%2fUsers%2fUserOnlineCourse.aspx%3fLearningActivityID%3do%252bY2f4yL8iktguLfTznYBg%253d%253d" TargetMode="External"/><Relationship Id="rId190" Type="http://schemas.openxmlformats.org/officeDocument/2006/relationships/hyperlink" Target="https://www.kaaaci.or.kr/2020s/content/program.php" TargetMode="External"/><Relationship Id="rId204" Type="http://schemas.openxmlformats.org/officeDocument/2006/relationships/hyperlink" Target="https://www.congresoseaic.org/static/upload/ow81/events/ev578/Site/files/Programa_final_SEAIC24-0309.pdf" TargetMode="External"/><Relationship Id="rId225" Type="http://schemas.openxmlformats.org/officeDocument/2006/relationships/hyperlink" Target="https://www.aid.org.tr/xxviii-ulusal-alerji-ve-immunoloji-kongresi-ardindan-2021/" TargetMode="External"/><Relationship Id="rId246" Type="http://schemas.openxmlformats.org/officeDocument/2006/relationships/hyperlink" Target="https://immunology2024.aai.org/program/" TargetMode="External"/><Relationship Id="rId267" Type="http://schemas.openxmlformats.org/officeDocument/2006/relationships/hyperlink" Target="https://www.isong.org/event-5702722" TargetMode="External"/><Relationship Id="rId288" Type="http://schemas.openxmlformats.org/officeDocument/2006/relationships/hyperlink" Target="https://public.rsb.org.uk/BSGM%20Conference%202024%20Preliminary%20Programme%20-%2011-09-2024.pdf" TargetMode="External"/><Relationship Id="rId411" Type="http://schemas.openxmlformats.org/officeDocument/2006/relationships/hyperlink" Target="https://www.emedevents.com/c/medical-conferences-2022/the-25th-human-genome-meeting-hgm" TargetMode="External"/><Relationship Id="rId106" Type="http://schemas.openxmlformats.org/officeDocument/2006/relationships/hyperlink" Target="https://bpb-ap-se2.wpmucdn.com/blogs.auckland.ac.nz/dist/a/780/files/2023/12/website-of-Final-Programme-01-12-with-paper-titles-.pdf" TargetMode="External"/><Relationship Id="rId127" Type="http://schemas.openxmlformats.org/officeDocument/2006/relationships/hyperlink" Target="https://www.emedevents.com/c/medical-conferences-2022/77th-annual-canadian-society-of-allergy-and-clinical-immunology-csaci-scientific-meeting" TargetMode="External"/><Relationship Id="rId313" Type="http://schemas.openxmlformats.org/officeDocument/2006/relationships/hyperlink" Target="https://segcd.org/publicaciones/3896-2/" TargetMode="External"/><Relationship Id="rId10" Type="http://schemas.openxmlformats.org/officeDocument/2006/relationships/hyperlink" Target="https://cslide.ctimeetingtech.com/esid22/attendee/confcal/presentation" TargetMode="External"/><Relationship Id="rId31" Type="http://schemas.openxmlformats.org/officeDocument/2006/relationships/hyperlink" Target="https://www.eversana.com/2021/11/02/world-orphan-drug-congress-europe-2021/" TargetMode="External"/><Relationship Id="rId52" Type="http://schemas.openxmlformats.org/officeDocument/2006/relationships/hyperlink" Target="https://apsid2023.com/front/page/APSID_program%20book_v14_20Apr2023_online.pdf" TargetMode="External"/><Relationship Id="rId73" Type="http://schemas.openxmlformats.org/officeDocument/2006/relationships/hyperlink" Target="https://download2.eurordis.org/ecrd/2024/ECRD_2024_Programme.pdf" TargetMode="External"/><Relationship Id="rId94" Type="http://schemas.openxmlformats.org/officeDocument/2006/relationships/hyperlink" Target="http://www.anadip.org/index.php/26-1-congreso-virtual-para-pacientes-con-inmunodeficiencias-primarias" TargetMode="External"/><Relationship Id="rId148" Type="http://schemas.openxmlformats.org/officeDocument/2006/relationships/hyperlink" Target="https://allergiekongress.de/wp-content/uploads/2022/09/DAK22_Hauptprogramm_web_04.pdf" TargetMode="External"/><Relationship Id="rId169" Type="http://schemas.openxmlformats.org/officeDocument/2006/relationships/hyperlink" Target="https://jscia54.jp/index.html" TargetMode="External"/><Relationship Id="rId334" Type="http://schemas.openxmlformats.org/officeDocument/2006/relationships/hyperlink" Target="https://d6a27bf6-9c2f-4d3f-8359-1cb2d86b3d4d.usrfiles.com/ugd/d6a27b_1712fb4f7c4147b7a1993ed2456dd769.pdf" TargetMode="External"/><Relationship Id="rId355" Type="http://schemas.openxmlformats.org/officeDocument/2006/relationships/hyperlink" Target="https://static.emedevents.com/uploads/conferences/session_brochure/cb33d387fd1398bbbaa9c4df751a0dba.pdf" TargetMode="External"/><Relationship Id="rId376" Type="http://schemas.openxmlformats.org/officeDocument/2006/relationships/hyperlink" Target="https://www.jsgct.jp/conference/72/" TargetMode="External"/><Relationship Id="rId397" Type="http://schemas.openxmlformats.org/officeDocument/2006/relationships/hyperlink" Target="https://broadinstitute.swoogo.com/ga4ghaprilconnect23/agenda" TargetMode="External"/><Relationship Id="rId4" Type="http://schemas.openxmlformats.org/officeDocument/2006/relationships/hyperlink" Target="https://cdn.ymaws.com/focisnet.site-ym.com/resource/resmgr/files/focis_2022/focis2022_program_reduced_fo.pdf" TargetMode="External"/><Relationship Id="rId180" Type="http://schemas.openxmlformats.org/officeDocument/2006/relationships/hyperlink" Target="https://site2.convention.co.jp/60jspaci/english/program/" TargetMode="External"/><Relationship Id="rId215" Type="http://schemas.openxmlformats.org/officeDocument/2006/relationships/hyperlink" Target="https://www.inmunologia.org/images/site/sei-2021_program-final.pdf" TargetMode="External"/><Relationship Id="rId236" Type="http://schemas.openxmlformats.org/officeDocument/2006/relationships/hyperlink" Target="https://www.immunology.org/events/british-society-immunology-congress-2022" TargetMode="External"/><Relationship Id="rId257" Type="http://schemas.openxmlformats.org/officeDocument/2006/relationships/hyperlink" Target="https://cis.clinimmsoc.org/education/meetings/am24/full-agenda" TargetMode="External"/><Relationship Id="rId278" Type="http://schemas.openxmlformats.org/officeDocument/2006/relationships/hyperlink" Target="https://www.ashg.org/meetings/2023meeting/agenda/ashg-2023-scientific-program/" TargetMode="External"/><Relationship Id="rId401" Type="http://schemas.openxmlformats.org/officeDocument/2006/relationships/hyperlink" Target="https://www.australiangenomics.org.au/australian-functional-genomics-network-symposium-2024/" TargetMode="External"/><Relationship Id="rId303" Type="http://schemas.openxmlformats.org/officeDocument/2006/relationships/hyperlink" Target="https://yonetim.citius.technology/menu/menu672/genetik2020-kongre-kitabi.pdf" TargetMode="External"/><Relationship Id="rId42" Type="http://schemas.openxmlformats.org/officeDocument/2006/relationships/hyperlink" Target="https://www.apardo.org/_files/ugd/0a4f38_37a8103eec2d4bb498274eddb22f4ef5.pdf" TargetMode="External"/><Relationship Id="rId84" Type="http://schemas.openxmlformats.org/officeDocument/2006/relationships/hyperlink" Target="https://www.sochipe.cl/subidos/congresos/docs/Programa%20LASID.pdf" TargetMode="External"/><Relationship Id="rId138" Type="http://schemas.openxmlformats.org/officeDocument/2006/relationships/hyperlink" Target="https://alliance-maladies-rares.org/wp-content/uploads/2023/05/AMR_PROGRAMME_CONGRES-1.pdf" TargetMode="External"/><Relationship Id="rId345" Type="http://schemas.openxmlformats.org/officeDocument/2006/relationships/hyperlink" Target="https://sag.org.ar/sitio/wp-content/uploads/2020/09/CongresoSAG2020_Programa160920.pdf" TargetMode="External"/><Relationship Id="rId387" Type="http://schemas.openxmlformats.org/officeDocument/2006/relationships/hyperlink" Target="https://www.ccmg-ccgm.org/wp-content/uploads/2024/06/2024-CCMG-CCGM-Annual-Scientific-Meeting-Program-1.pdf" TargetMode="External"/><Relationship Id="rId191" Type="http://schemas.openxmlformats.org/officeDocument/2006/relationships/hyperlink" Target="https://kaaaci.or.kr/2023f/content/program.php" TargetMode="External"/><Relationship Id="rId205" Type="http://schemas.openxmlformats.org/officeDocument/2006/relationships/hyperlink" Target="https://www.congresoseaic.org/static/upload/ow81/events/ev444/Site/files/PROGRAMA_SEAIC2022.pdf" TargetMode="External"/><Relationship Id="rId247" Type="http://schemas.openxmlformats.org/officeDocument/2006/relationships/hyperlink" Target="https://www.immunology2023.org/program/" TargetMode="External"/><Relationship Id="rId412" Type="http://schemas.openxmlformats.org/officeDocument/2006/relationships/hyperlink" Target="https://onlinelibrary.wiley.com/doi/full/10.1002/ajmg.a.62512" TargetMode="External"/><Relationship Id="rId107" Type="http://schemas.openxmlformats.org/officeDocument/2006/relationships/hyperlink" Target="https://iuis.org/events/50th-annual-scientific-meeting-of-the-australian-and-new-zealand-society-for-immunology-asi-2022/" TargetMode="External"/><Relationship Id="rId289" Type="http://schemas.openxmlformats.org/officeDocument/2006/relationships/hyperlink" Target="https://bsgm.org.uk/events/bsgm-annual-meeting-uk-clinical-genomics-2022/" TargetMode="External"/><Relationship Id="rId11" Type="http://schemas.openxmlformats.org/officeDocument/2006/relationships/hyperlink" Target="https://cslide.ctimeetingtech.com/esid20/attendee/confcal/presentation" TargetMode="External"/><Relationship Id="rId53" Type="http://schemas.openxmlformats.org/officeDocument/2006/relationships/hyperlink" Target="https://jsiad.org/wp-content/uploads/2024/03/APSID-JSIAD2024-Program-20240322.pdf" TargetMode="External"/><Relationship Id="rId149" Type="http://schemas.openxmlformats.org/officeDocument/2006/relationships/hyperlink" Target="https://allergiekongress.de/wp-content/uploads/2024/05/DAK21_Hauptprogramm_web_06.pdf" TargetMode="External"/><Relationship Id="rId314" Type="http://schemas.openxmlformats.org/officeDocument/2006/relationships/hyperlink" Target="https://segcd.org/publicaciones/iv-jornada-de-dismorfologia/" TargetMode="External"/><Relationship Id="rId356" Type="http://schemas.openxmlformats.org/officeDocument/2006/relationships/hyperlink" Target="https://www.isong.org/event-4191684" TargetMode="External"/><Relationship Id="rId398" Type="http://schemas.openxmlformats.org/officeDocument/2006/relationships/hyperlink" Target="https://www.ga4gh.org/event/april-connect-2022/" TargetMode="External"/><Relationship Id="rId95" Type="http://schemas.openxmlformats.org/officeDocument/2006/relationships/hyperlink" Target="https://congresoanualaaaeic.com.ar/media/programa2024.pdf" TargetMode="External"/><Relationship Id="rId160" Type="http://schemas.openxmlformats.org/officeDocument/2006/relationships/hyperlink" Target="https://jsiad.org/wp-content/uploads/2023/01/JSIAD2023_schedule_jpen.pdf" TargetMode="External"/><Relationship Id="rId216" Type="http://schemas.openxmlformats.org/officeDocument/2006/relationships/hyperlink" Target="https://www.turkimmunoloji.org/assets/2024/26.-UiK-bildiri-kitabi.pdf" TargetMode="External"/><Relationship Id="rId258" Type="http://schemas.openxmlformats.org/officeDocument/2006/relationships/hyperlink" Target="https://cis.clinimmsoc.org/UserFiles/AM23/am23-finpro-v10_hires.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aedip.com/" TargetMode="External"/><Relationship Id="rId18" Type="http://schemas.openxmlformats.org/officeDocument/2006/relationships/hyperlink" Target="https://fpid.org/wp/" TargetMode="External"/><Relationship Id="rId26" Type="http://schemas.openxmlformats.org/officeDocument/2006/relationships/hyperlink" Target="https://primaryimmune.org/" TargetMode="External"/><Relationship Id="rId39" Type="http://schemas.openxmlformats.org/officeDocument/2006/relationships/hyperlink" Target="https://www.stevewaughfoundation.com.au/" TargetMode="External"/><Relationship Id="rId21" Type="http://schemas.openxmlformats.org/officeDocument/2006/relationships/hyperlink" Target="https://iniciativaalas.org/" TargetMode="External"/><Relationship Id="rId34" Type="http://schemas.openxmlformats.org/officeDocument/2006/relationships/hyperlink" Target="https://www.rarediseasesinternational.org/" TargetMode="External"/><Relationship Id="rId42" Type="http://schemas.openxmlformats.org/officeDocument/2006/relationships/hyperlink" Target="https://vidasraras.org.br/sitewp/" TargetMode="External"/><Relationship Id="rId47" Type="http://schemas.openxmlformats.org/officeDocument/2006/relationships/hyperlink" Target="http://www.fundaper.org/" TargetMode="External"/><Relationship Id="rId50" Type="http://schemas.openxmlformats.org/officeDocument/2006/relationships/hyperlink" Target="https://alliance-maladies-rares.org/" TargetMode="External"/><Relationship Id="rId55" Type="http://schemas.openxmlformats.org/officeDocument/2006/relationships/hyperlink" Target="https://www.uniamo.org/" TargetMode="External"/><Relationship Id="rId63" Type="http://schemas.openxmlformats.org/officeDocument/2006/relationships/hyperlink" Target="https://www.raredisease.org.uk/" TargetMode="External"/><Relationship Id="rId68" Type="http://schemas.openxmlformats.org/officeDocument/2006/relationships/hyperlink" Target="http://www.rarekidsnetwork.org/" TargetMode="External"/><Relationship Id="rId76" Type="http://schemas.openxmlformats.org/officeDocument/2006/relationships/hyperlink" Target="https://www.ewenlife.org/" TargetMode="External"/><Relationship Id="rId7" Type="http://schemas.openxmlformats.org/officeDocument/2006/relationships/hyperlink" Target="https://immunitycanada.org/" TargetMode="External"/><Relationship Id="rId71" Type="http://schemas.openxmlformats.org/officeDocument/2006/relationships/hyperlink" Target="https://ercalgroup.org/" TargetMode="External"/><Relationship Id="rId2" Type="http://schemas.openxmlformats.org/officeDocument/2006/relationships/hyperlink" Target="https://ipopi.org/" TargetMode="External"/><Relationship Id="rId16" Type="http://schemas.openxmlformats.org/officeDocument/2006/relationships/hyperlink" Target="https://www.pia.org.uk/" TargetMode="External"/><Relationship Id="rId29" Type="http://schemas.openxmlformats.org/officeDocument/2006/relationships/hyperlink" Target="https://www.apardo.org/" TargetMode="External"/><Relationship Id="rId11" Type="http://schemas.openxmlformats.org/officeDocument/2006/relationships/hyperlink" Target="https://www.aip-it.org/" TargetMode="External"/><Relationship Id="rId24" Type="http://schemas.openxmlformats.org/officeDocument/2006/relationships/hyperlink" Target="http://imyed.org/" TargetMode="External"/><Relationship Id="rId32" Type="http://schemas.openxmlformats.org/officeDocument/2006/relationships/hyperlink" Target="https://aliber.org/web/" TargetMode="External"/><Relationship Id="rId37" Type="http://schemas.openxmlformats.org/officeDocument/2006/relationships/hyperlink" Target="https://www.geneticalliance.org.au/" TargetMode="External"/><Relationship Id="rId40" Type="http://schemas.openxmlformats.org/officeDocument/2006/relationships/hyperlink" Target="https://feberraras.wixsite.com/feber-raras" TargetMode="External"/><Relationship Id="rId45" Type="http://schemas.openxmlformats.org/officeDocument/2006/relationships/hyperlink" Target="https://enfermedadeshuerfanas.org.co/" TargetMode="External"/><Relationship Id="rId53" Type="http://schemas.openxmlformats.org/officeDocument/2006/relationships/hyperlink" Target="https://www.osservatoriomalattierare.it/" TargetMode="External"/><Relationship Id="rId58" Type="http://schemas.openxmlformats.org/officeDocument/2006/relationships/hyperlink" Target="https://www.dgenes.es/" TargetMode="External"/><Relationship Id="rId66" Type="http://schemas.openxmlformats.org/officeDocument/2006/relationships/hyperlink" Target="https://rarediseases.org/" TargetMode="External"/><Relationship Id="rId74" Type="http://schemas.openxmlformats.org/officeDocument/2006/relationships/hyperlink" Target="https://rarechromo.org/" TargetMode="External"/><Relationship Id="rId79" Type="http://schemas.openxmlformats.org/officeDocument/2006/relationships/hyperlink" Target="https://www.raredisorders.ca/" TargetMode="External"/><Relationship Id="rId5" Type="http://schemas.openxmlformats.org/officeDocument/2006/relationships/hyperlink" Target="https://anpic.org.br/" TargetMode="External"/><Relationship Id="rId61" Type="http://schemas.openxmlformats.org/officeDocument/2006/relationships/hyperlink" Target="https://www.rarebeacon.org/" TargetMode="External"/><Relationship Id="rId10" Type="http://schemas.openxmlformats.org/officeDocument/2006/relationships/hyperlink" Target="https://www.dsai.de/" TargetMode="External"/><Relationship Id="rId19" Type="http://schemas.openxmlformats.org/officeDocument/2006/relationships/hyperlink" Target="https://info4pi.org/" TargetMode="External"/><Relationship Id="rId31" Type="http://schemas.openxmlformats.org/officeDocument/2006/relationships/hyperlink" Target="https://globalgenes.org/" TargetMode="External"/><Relationship Id="rId44" Type="http://schemas.openxmlformats.org/officeDocument/2006/relationships/hyperlink" Target="https://www.fecoer.org/" TargetMode="External"/><Relationship Id="rId52" Type="http://schemas.openxmlformats.org/officeDocument/2006/relationships/hyperlink" Target="https://www.namse.de/" TargetMode="External"/><Relationship Id="rId60" Type="http://schemas.openxmlformats.org/officeDocument/2006/relationships/hyperlink" Target="https://www.nadirhastaliklaragi.org.tr/en/" TargetMode="External"/><Relationship Id="rId65" Type="http://schemas.openxmlformats.org/officeDocument/2006/relationships/hyperlink" Target="https://littlemisshannah.org/" TargetMode="External"/><Relationship Id="rId73" Type="http://schemas.openxmlformats.org/officeDocument/2006/relationships/hyperlink" Target="https://thegenesisfoundation.org/" TargetMode="External"/><Relationship Id="rId78" Type="http://schemas.openxmlformats.org/officeDocument/2006/relationships/hyperlink" Target="https://geneticalliance.org/" TargetMode="External"/><Relationship Id="rId4" Type="http://schemas.openxmlformats.org/officeDocument/2006/relationships/hyperlink" Target="https://aapidp.com.ar/" TargetMode="External"/><Relationship Id="rId9" Type="http://schemas.openxmlformats.org/officeDocument/2006/relationships/hyperlink" Target="https://associationiris.org/" TargetMode="External"/><Relationship Id="rId14" Type="http://schemas.openxmlformats.org/officeDocument/2006/relationships/hyperlink" Target="https://candanbiseyler.org/" TargetMode="External"/><Relationship Id="rId22" Type="http://schemas.openxmlformats.org/officeDocument/2006/relationships/hyperlink" Target="https://www.idfa.org.au/" TargetMode="External"/><Relationship Id="rId27" Type="http://schemas.openxmlformats.org/officeDocument/2006/relationships/hyperlink" Target="https://ern-rita.org/" TargetMode="External"/><Relationship Id="rId30" Type="http://schemas.openxmlformats.org/officeDocument/2006/relationships/hyperlink" Target="https://www.globalrarediseasecommission.com/" TargetMode="External"/><Relationship Id="rId35" Type="http://schemas.openxmlformats.org/officeDocument/2006/relationships/hyperlink" Target="https://fadepof.org.ar/" TargetMode="External"/><Relationship Id="rId43" Type="http://schemas.openxmlformats.org/officeDocument/2006/relationships/hyperlink" Target="https://rarediseasefoundation.org/" TargetMode="External"/><Relationship Id="rId48" Type="http://schemas.openxmlformats.org/officeDocument/2006/relationships/hyperlink" Target="https://enhu.org.co/index.php/" TargetMode="External"/><Relationship Id="rId56" Type="http://schemas.openxmlformats.org/officeDocument/2006/relationships/hyperlink" Target="https://www.ncnp.go.jp/nin/guide/r_dna2/rdcj.html" TargetMode="External"/><Relationship Id="rId64" Type="http://schemas.openxmlformats.org/officeDocument/2006/relationships/hyperlink" Target="https://everylifefoundation.org/" TargetMode="External"/><Relationship Id="rId69" Type="http://schemas.openxmlformats.org/officeDocument/2006/relationships/hyperlink" Target="https://www.eurordis.org/" TargetMode="External"/><Relationship Id="rId77" Type="http://schemas.openxmlformats.org/officeDocument/2006/relationships/hyperlink" Target="https://nirdp.org.uk/" TargetMode="External"/><Relationship Id="rId8" Type="http://schemas.openxmlformats.org/officeDocument/2006/relationships/hyperlink" Target="http://www.fundacionfip.org.co/" TargetMode="External"/><Relationship Id="rId51" Type="http://schemas.openxmlformats.org/officeDocument/2006/relationships/hyperlink" Target="https://www.achse-online.de/de/" TargetMode="External"/><Relationship Id="rId72" Type="http://schemas.openxmlformats.org/officeDocument/2006/relationships/hyperlink" Target="https://chromodisorder.org/" TargetMode="External"/><Relationship Id="rId80" Type="http://schemas.openxmlformats.org/officeDocument/2006/relationships/printerSettings" Target="../printerSettings/printerSettings5.bin"/><Relationship Id="rId3" Type="http://schemas.openxmlformats.org/officeDocument/2006/relationships/hyperlink" Target="https://www.auspips.org.au/" TargetMode="External"/><Relationship Id="rId12" Type="http://schemas.openxmlformats.org/officeDocument/2006/relationships/hyperlink" Target="https://npo-pidtsubasa.org/" TargetMode="External"/><Relationship Id="rId17" Type="http://schemas.openxmlformats.org/officeDocument/2006/relationships/hyperlink" Target="https://ukpips.org.uk/" TargetMode="External"/><Relationship Id="rId25" Type="http://schemas.openxmlformats.org/officeDocument/2006/relationships/hyperlink" Target="https://www.bubblefoundation.org.uk/" TargetMode="External"/><Relationship Id="rId33" Type="http://schemas.openxmlformats.org/officeDocument/2006/relationships/hyperlink" Target="https://www.ngocommitteerarediseases.org/" TargetMode="External"/><Relationship Id="rId38" Type="http://schemas.openxmlformats.org/officeDocument/2006/relationships/hyperlink" Target="https://rarevoices.org.au/" TargetMode="External"/><Relationship Id="rId46" Type="http://schemas.openxmlformats.org/officeDocument/2006/relationships/hyperlink" Target="https://www.cronicare.org/" TargetMode="External"/><Relationship Id="rId59" Type="http://schemas.openxmlformats.org/officeDocument/2006/relationships/hyperlink" Target="https://enfermedades-raras.org/" TargetMode="External"/><Relationship Id="rId67" Type="http://schemas.openxmlformats.org/officeDocument/2006/relationships/hyperlink" Target="https://www.rarediseasediversity.org/" TargetMode="External"/><Relationship Id="rId20" Type="http://schemas.openxmlformats.org/officeDocument/2006/relationships/hyperlink" Target="https://thinkofmeplease.org/" TargetMode="External"/><Relationship Id="rId41" Type="http://schemas.openxmlformats.org/officeDocument/2006/relationships/hyperlink" Target="https://casahunter.org.br/" TargetMode="External"/><Relationship Id="rId54" Type="http://schemas.openxmlformats.org/officeDocument/2006/relationships/hyperlink" Target="https://retemalattierare.it/" TargetMode="External"/><Relationship Id="rId62" Type="http://schemas.openxmlformats.org/officeDocument/2006/relationships/hyperlink" Target="https://geneticalliance.org.uk/" TargetMode="External"/><Relationship Id="rId70" Type="http://schemas.openxmlformats.org/officeDocument/2006/relationships/hyperlink" Target="https://fundaciongeiser.org/" TargetMode="External"/><Relationship Id="rId75" Type="http://schemas.openxmlformats.org/officeDocument/2006/relationships/hyperlink" Target="https://genepeople.org.uk/" TargetMode="External"/><Relationship Id="rId1" Type="http://schemas.openxmlformats.org/officeDocument/2006/relationships/hyperlink" Target="https://www.scidangelsforlife.com/" TargetMode="External"/><Relationship Id="rId6" Type="http://schemas.openxmlformats.org/officeDocument/2006/relationships/hyperlink" Target="https://immunodeficiency.ca/" TargetMode="External"/><Relationship Id="rId15" Type="http://schemas.openxmlformats.org/officeDocument/2006/relationships/hyperlink" Target="https://www.immunodeficiencyuk.org/" TargetMode="External"/><Relationship Id="rId23" Type="http://schemas.openxmlformats.org/officeDocument/2006/relationships/hyperlink" Target="https://manaa.org.sa/" TargetMode="External"/><Relationship Id="rId28" Type="http://schemas.openxmlformats.org/officeDocument/2006/relationships/hyperlink" Target="https://eulutopelaimunobrasil.org.br/" TargetMode="External"/><Relationship Id="rId36" Type="http://schemas.openxmlformats.org/officeDocument/2006/relationships/hyperlink" Target="https://www.fundacionenhue.org/" TargetMode="External"/><Relationship Id="rId49" Type="http://schemas.openxmlformats.org/officeDocument/2006/relationships/hyperlink" Target="https://www.enhu.org.co/" TargetMode="External"/><Relationship Id="rId57" Type="http://schemas.openxmlformats.org/officeDocument/2006/relationships/hyperlink" Target="https://www.kord.or.kr/index.php"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ksimm.or.kr/html/?pmode=intro2" TargetMode="External"/><Relationship Id="rId117" Type="http://schemas.openxmlformats.org/officeDocument/2006/relationships/hyperlink" Target="https://www.australiangenomics.org.au/" TargetMode="External"/><Relationship Id="rId21" Type="http://schemas.openxmlformats.org/officeDocument/2006/relationships/hyperlink" Target="https://www.inmunoacoi.com/" TargetMode="External"/><Relationship Id="rId42" Type="http://schemas.openxmlformats.org/officeDocument/2006/relationships/hyperlink" Target="https://www.csaci.ca/" TargetMode="External"/><Relationship Id="rId47" Type="http://schemas.openxmlformats.org/officeDocument/2006/relationships/hyperlink" Target="https://www.jscia.org/" TargetMode="External"/><Relationship Id="rId63" Type="http://schemas.openxmlformats.org/officeDocument/2006/relationships/hyperlink" Target="http://www.icord.es/" TargetMode="External"/><Relationship Id="rId68" Type="http://schemas.openxmlformats.org/officeDocument/2006/relationships/hyperlink" Target="https://fondation-maladiesrares.org/en/" TargetMode="External"/><Relationship Id="rId84" Type="http://schemas.openxmlformats.org/officeDocument/2006/relationships/hyperlink" Target="https://bsgm.org.uk/" TargetMode="External"/><Relationship Id="rId89" Type="http://schemas.openxmlformats.org/officeDocument/2006/relationships/hyperlink" Target="https://seagen.org/" TargetMode="External"/><Relationship Id="rId112" Type="http://schemas.openxmlformats.org/officeDocument/2006/relationships/hyperlink" Target="https://www.sbgm.org.br/" TargetMode="External"/><Relationship Id="rId133" Type="http://schemas.openxmlformats.org/officeDocument/2006/relationships/hyperlink" Target="https://af-cg.fr/" TargetMode="External"/><Relationship Id="rId138" Type="http://schemas.openxmlformats.org/officeDocument/2006/relationships/hyperlink" Target="https://paed.hku.hk/apsid/home.html" TargetMode="External"/><Relationship Id="rId16" Type="http://schemas.openxmlformats.org/officeDocument/2006/relationships/hyperlink" Target="https://inmunologia.org.ar/" TargetMode="External"/><Relationship Id="rId107" Type="http://schemas.openxmlformats.org/officeDocument/2006/relationships/hyperlink" Target="https://www.bsgct.org/" TargetMode="External"/><Relationship Id="rId11" Type="http://schemas.openxmlformats.org/officeDocument/2006/relationships/hyperlink" Target="https://jsiad.org/" TargetMode="External"/><Relationship Id="rId32" Type="http://schemas.openxmlformats.org/officeDocument/2006/relationships/hyperlink" Target="https://www.aai.org/" TargetMode="External"/><Relationship Id="rId37" Type="http://schemas.openxmlformats.org/officeDocument/2006/relationships/hyperlink" Target="https://www.efis.org/" TargetMode="External"/><Relationship Id="rId53" Type="http://schemas.openxmlformats.org/officeDocument/2006/relationships/hyperlink" Target="https://www.bsaci.org/" TargetMode="External"/><Relationship Id="rId58" Type="http://schemas.openxmlformats.org/officeDocument/2006/relationships/hyperlink" Target="https://www.apaaaci.org/" TargetMode="External"/><Relationship Id="rId74" Type="http://schemas.openxmlformats.org/officeDocument/2006/relationships/hyperlink" Target="https://www.rarediseasesnetwork.org/" TargetMode="External"/><Relationship Id="rId79" Type="http://schemas.openxmlformats.org/officeDocument/2006/relationships/hyperlink" Target="https://www.jewishgeneticdiseases.org/" TargetMode="External"/><Relationship Id="rId102" Type="http://schemas.openxmlformats.org/officeDocument/2006/relationships/hyperlink" Target="https://www.cagc-accg.ca/" TargetMode="External"/><Relationship Id="rId123" Type="http://schemas.openxmlformats.org/officeDocument/2006/relationships/hyperlink" Target="https://www.hugo-international.org/" TargetMode="External"/><Relationship Id="rId128" Type="http://schemas.openxmlformats.org/officeDocument/2006/relationships/hyperlink" Target="https://www.eauhgs.jp/" TargetMode="External"/><Relationship Id="rId5" Type="http://schemas.openxmlformats.org/officeDocument/2006/relationships/hyperlink" Target="https://ingid.org/" TargetMode="External"/><Relationship Id="rId90" Type="http://schemas.openxmlformats.org/officeDocument/2006/relationships/hyperlink" Target="https://segcd.org/" TargetMode="External"/><Relationship Id="rId95" Type="http://schemas.openxmlformats.org/officeDocument/2006/relationships/hyperlink" Target="https://www.jsgc.jp/" TargetMode="External"/><Relationship Id="rId22" Type="http://schemas.openxmlformats.org/officeDocument/2006/relationships/hyperlink" Target="https://immunology.fr/fr/" TargetMode="External"/><Relationship Id="rId27" Type="http://schemas.openxmlformats.org/officeDocument/2006/relationships/hyperlink" Target="https://www.inmunologia.org/" TargetMode="External"/><Relationship Id="rId43" Type="http://schemas.openxmlformats.org/officeDocument/2006/relationships/hyperlink" Target="https://home.acaai.co/" TargetMode="External"/><Relationship Id="rId48" Type="http://schemas.openxmlformats.org/officeDocument/2006/relationships/hyperlink" Target="https://www.jspaci.jp/" TargetMode="External"/><Relationship Id="rId64" Type="http://schemas.openxmlformats.org/officeDocument/2006/relationships/hyperlink" Target="https://irdirc.org/" TargetMode="External"/><Relationship Id="rId69" Type="http://schemas.openxmlformats.org/officeDocument/2006/relationships/hyperlink" Target="https://www.care-for-rare.org/en/home/" TargetMode="External"/><Relationship Id="rId113" Type="http://schemas.openxmlformats.org/officeDocument/2006/relationships/hyperlink" Target="http://sbegg.org/" TargetMode="External"/><Relationship Id="rId118" Type="http://schemas.openxmlformats.org/officeDocument/2006/relationships/hyperlink" Target="https://www.hgsa.org.au/Web/Default.aspx" TargetMode="External"/><Relationship Id="rId134" Type="http://schemas.openxmlformats.org/officeDocument/2006/relationships/hyperlink" Target="https://ffgh.net/" TargetMode="External"/><Relationship Id="rId139" Type="http://schemas.openxmlformats.org/officeDocument/2006/relationships/printerSettings" Target="../printerSettings/printerSettings6.bin"/><Relationship Id="rId8" Type="http://schemas.openxmlformats.org/officeDocument/2006/relationships/hyperlink" Target="https://www.udea.edu.co/wps/portal/udea/web/inicio/investigacion/grupos-investigacion/ciencias-medicas-salud/inmunodeficiencias-primarias" TargetMode="External"/><Relationship Id="rId51" Type="http://schemas.openxmlformats.org/officeDocument/2006/relationships/hyperlink" Target="https://seicap.es/" TargetMode="External"/><Relationship Id="rId72" Type="http://schemas.openxmlformats.org/officeDocument/2006/relationships/hyperlink" Target="https://rd-research.org.uk/" TargetMode="External"/><Relationship Id="rId80" Type="http://schemas.openxmlformats.org/officeDocument/2006/relationships/hyperlink" Target="https://genetics-gsa.org/" TargetMode="External"/><Relationship Id="rId85" Type="http://schemas.openxmlformats.org/officeDocument/2006/relationships/hyperlink" Target="https://genetics.org.uk/" TargetMode="External"/><Relationship Id="rId93" Type="http://schemas.openxmlformats.org/officeDocument/2006/relationships/hyperlink" Target="https://kgenetics.or.kr/" TargetMode="External"/><Relationship Id="rId98" Type="http://schemas.openxmlformats.org/officeDocument/2006/relationships/hyperlink" Target="https://www.jsgct.jp/" TargetMode="External"/><Relationship Id="rId121" Type="http://schemas.openxmlformats.org/officeDocument/2006/relationships/hyperlink" Target="https://www.asgc.org.au/" TargetMode="External"/><Relationship Id="rId3" Type="http://schemas.openxmlformats.org/officeDocument/2006/relationships/hyperlink" Target="https://pidtc.rarediseasesnetwork.org/" TargetMode="External"/><Relationship Id="rId12" Type="http://schemas.openxmlformats.org/officeDocument/2006/relationships/hyperlink" Target="https://www.esid.org/" TargetMode="External"/><Relationship Id="rId17" Type="http://schemas.openxmlformats.org/officeDocument/2006/relationships/hyperlink" Target="https://www.immunology.org.au/" TargetMode="External"/><Relationship Id="rId25" Type="http://schemas.openxmlformats.org/officeDocument/2006/relationships/hyperlink" Target="https://www.jsci73.net/" TargetMode="External"/><Relationship Id="rId33" Type="http://schemas.openxmlformats.org/officeDocument/2006/relationships/hyperlink" Target="https://www.ashi-hla.org/" TargetMode="External"/><Relationship Id="rId38" Type="http://schemas.openxmlformats.org/officeDocument/2006/relationships/hyperlink" Target="https://www.alaci.org/" TargetMode="External"/><Relationship Id="rId46" Type="http://schemas.openxmlformats.org/officeDocument/2006/relationships/hyperlink" Target="https://siica.it/" TargetMode="External"/><Relationship Id="rId59" Type="http://schemas.openxmlformats.org/officeDocument/2006/relationships/hyperlink" Target="https://eaaci.org/" TargetMode="External"/><Relationship Id="rId67" Type="http://schemas.openxmlformats.org/officeDocument/2006/relationships/hyperlink" Target="https://www.fimatho.fr/en/research-and-financing/bndmr" TargetMode="External"/><Relationship Id="rId103" Type="http://schemas.openxmlformats.org/officeDocument/2006/relationships/hyperlink" Target="https://www.ccmg-ccgm.org/" TargetMode="External"/><Relationship Id="rId108" Type="http://schemas.openxmlformats.org/officeDocument/2006/relationships/hyperlink" Target="https://gfhev.de/" TargetMode="External"/><Relationship Id="rId116" Type="http://schemas.openxmlformats.org/officeDocument/2006/relationships/hyperlink" Target="https://www.icgeb.org/" TargetMode="External"/><Relationship Id="rId124" Type="http://schemas.openxmlformats.org/officeDocument/2006/relationships/hyperlink" Target="https://www.sbg.org.br/" TargetMode="External"/><Relationship Id="rId129" Type="http://schemas.openxmlformats.org/officeDocument/2006/relationships/hyperlink" Target="https://www.e-c-a.eu/en/" TargetMode="External"/><Relationship Id="rId137" Type="http://schemas.openxmlformats.org/officeDocument/2006/relationships/hyperlink" Target="https://agt-info.org/" TargetMode="External"/><Relationship Id="rId20" Type="http://schemas.openxmlformats.org/officeDocument/2006/relationships/hyperlink" Target="https://www.csi-sci.ca/" TargetMode="External"/><Relationship Id="rId41" Type="http://schemas.openxmlformats.org/officeDocument/2006/relationships/hyperlink" Target="https://asbai.org.br/" TargetMode="External"/><Relationship Id="rId54" Type="http://schemas.openxmlformats.org/officeDocument/2006/relationships/hyperlink" Target="https://www.aaaai.org/" TargetMode="External"/><Relationship Id="rId62" Type="http://schemas.openxmlformats.org/officeDocument/2006/relationships/hyperlink" Target="https://ihf-fih.org/what-we-do/global-rare-paediatric-disease-network/" TargetMode="External"/><Relationship Id="rId70" Type="http://schemas.openxmlformats.org/officeDocument/2006/relationships/hyperlink" Target="https://www.kfrd.org/" TargetMode="External"/><Relationship Id="rId75" Type="http://schemas.openxmlformats.org/officeDocument/2006/relationships/hyperlink" Target="https://www.thecrdfund.org/" TargetMode="External"/><Relationship Id="rId83" Type="http://schemas.openxmlformats.org/officeDocument/2006/relationships/hyperlink" Target="https://www.asgct.org/" TargetMode="External"/><Relationship Id="rId88" Type="http://schemas.openxmlformats.org/officeDocument/2006/relationships/hyperlink" Target="https://aegh.org/" TargetMode="External"/><Relationship Id="rId91" Type="http://schemas.openxmlformats.org/officeDocument/2006/relationships/hyperlink" Target="https://segenetica.es/" TargetMode="External"/><Relationship Id="rId96" Type="http://schemas.openxmlformats.org/officeDocument/2006/relationships/hyperlink" Target="http://www.gene-dt.jp/" TargetMode="External"/><Relationship Id="rId111" Type="http://schemas.openxmlformats.org/officeDocument/2006/relationships/hyperlink" Target="https://sag.org.ar/sitio/" TargetMode="External"/><Relationship Id="rId132" Type="http://schemas.openxmlformats.org/officeDocument/2006/relationships/hyperlink" Target="http://www.ksmg.or.kr/html/" TargetMode="External"/><Relationship Id="rId1" Type="http://schemas.openxmlformats.org/officeDocument/2006/relationships/hyperlink" Target="https://www.theiapids.org/" TargetMode="External"/><Relationship Id="rId6" Type="http://schemas.openxmlformats.org/officeDocument/2006/relationships/hyperlink" Target="http://www.waidid.org/site/index" TargetMode="External"/><Relationship Id="rId15" Type="http://schemas.openxmlformats.org/officeDocument/2006/relationships/hyperlink" Target="https://iuis.org/" TargetMode="External"/><Relationship Id="rId23" Type="http://schemas.openxmlformats.org/officeDocument/2006/relationships/hyperlink" Target="https://dgfi.org/" TargetMode="External"/><Relationship Id="rId28" Type="http://schemas.openxmlformats.org/officeDocument/2006/relationships/hyperlink" Target="https://www.turkimmunoloji.org/" TargetMode="External"/><Relationship Id="rId36" Type="http://schemas.openxmlformats.org/officeDocument/2006/relationships/hyperlink" Target="https://efi-web.org/" TargetMode="External"/><Relationship Id="rId49" Type="http://schemas.openxmlformats.org/officeDocument/2006/relationships/hyperlink" Target="https://www.allergy.or.kr/" TargetMode="External"/><Relationship Id="rId57" Type="http://schemas.openxmlformats.org/officeDocument/2006/relationships/hyperlink" Target="https://wsaai.org/" TargetMode="External"/><Relationship Id="rId106" Type="http://schemas.openxmlformats.org/officeDocument/2006/relationships/hyperlink" Target="https://www.geneticsandsociety.org/" TargetMode="External"/><Relationship Id="rId114" Type="http://schemas.openxmlformats.org/officeDocument/2006/relationships/hyperlink" Target="https://www.isong.org/" TargetMode="External"/><Relationship Id="rId119" Type="http://schemas.openxmlformats.org/officeDocument/2006/relationships/hyperlink" Target="https://genetics.org.au/" TargetMode="External"/><Relationship Id="rId127" Type="http://schemas.openxmlformats.org/officeDocument/2006/relationships/hyperlink" Target="http://www.ifhgs.org/" TargetMode="External"/><Relationship Id="rId10" Type="http://schemas.openxmlformats.org/officeDocument/2006/relationships/hyperlink" Target="https://www.aieop.org/web/operatori-sanitari/gruppi-di-lavoro/immunodeficienze/" TargetMode="External"/><Relationship Id="rId31" Type="http://schemas.openxmlformats.org/officeDocument/2006/relationships/hyperlink" Target="https://www.immunology.org/" TargetMode="External"/><Relationship Id="rId44" Type="http://schemas.openxmlformats.org/officeDocument/2006/relationships/hyperlink" Target="https://www.dgaki.de/" TargetMode="External"/><Relationship Id="rId52" Type="http://schemas.openxmlformats.org/officeDocument/2006/relationships/hyperlink" Target="https://www.aid.org.tr/" TargetMode="External"/><Relationship Id="rId60" Type="http://schemas.openxmlformats.org/officeDocument/2006/relationships/hyperlink" Target="https://slaai.org/" TargetMode="External"/><Relationship Id="rId65" Type="http://schemas.openxmlformats.org/officeDocument/2006/relationships/hyperlink" Target="https://raras.org.br/" TargetMode="External"/><Relationship Id="rId73" Type="http://schemas.openxmlformats.org/officeDocument/2006/relationships/hyperlink" Target="https://www.childrenraredisease.org/" TargetMode="External"/><Relationship Id="rId78" Type="http://schemas.openxmlformats.org/officeDocument/2006/relationships/hyperlink" Target="https://www.research4rare.de/en/" TargetMode="External"/><Relationship Id="rId81" Type="http://schemas.openxmlformats.org/officeDocument/2006/relationships/hyperlink" Target="https://www.ashg.org/" TargetMode="External"/><Relationship Id="rId86" Type="http://schemas.openxmlformats.org/officeDocument/2006/relationships/hyperlink" Target="https://www.eshg.org/" TargetMode="External"/><Relationship Id="rId94" Type="http://schemas.openxmlformats.org/officeDocument/2006/relationships/hyperlink" Target="https://jshg.jp/" TargetMode="External"/><Relationship Id="rId99" Type="http://schemas.openxmlformats.org/officeDocument/2006/relationships/hyperlink" Target="https://www.sfgenetique.org/" TargetMode="External"/><Relationship Id="rId101" Type="http://schemas.openxmlformats.org/officeDocument/2006/relationships/hyperlink" Target="https://genomecanada.ca/" TargetMode="External"/><Relationship Id="rId122" Type="http://schemas.openxmlformats.org/officeDocument/2006/relationships/hyperlink" Target="https://agcts.org.au/presidents-message/" TargetMode="External"/><Relationship Id="rId130" Type="http://schemas.openxmlformats.org/officeDocument/2006/relationships/hyperlink" Target="https://www.hgvs.org/" TargetMode="External"/><Relationship Id="rId135" Type="http://schemas.openxmlformats.org/officeDocument/2006/relationships/hyperlink" Target="https://sites.google.com/view/sfgh2019" TargetMode="External"/><Relationship Id="rId4" Type="http://schemas.openxmlformats.org/officeDocument/2006/relationships/hyperlink" Target="https://usidnet.org/" TargetMode="External"/><Relationship Id="rId9" Type="http://schemas.openxmlformats.org/officeDocument/2006/relationships/hyperlink" Target="https://www.cipo.ca/" TargetMode="External"/><Relationship Id="rId13" Type="http://schemas.openxmlformats.org/officeDocument/2006/relationships/hyperlink" Target="https://lasid.org/" TargetMode="External"/><Relationship Id="rId18" Type="http://schemas.openxmlformats.org/officeDocument/2006/relationships/hyperlink" Target="https://sbi.org.br/" TargetMode="External"/><Relationship Id="rId39" Type="http://schemas.openxmlformats.org/officeDocument/2006/relationships/hyperlink" Target="https://www.alergia.org.ar/" TargetMode="External"/><Relationship Id="rId109" Type="http://schemas.openxmlformats.org/officeDocument/2006/relationships/hyperlink" Target="https://sigu.net/" TargetMode="External"/><Relationship Id="rId34" Type="http://schemas.openxmlformats.org/officeDocument/2006/relationships/hyperlink" Target="https://clinimmsoc.org/" TargetMode="External"/><Relationship Id="rId50" Type="http://schemas.openxmlformats.org/officeDocument/2006/relationships/hyperlink" Target="https://www.seaic.org/" TargetMode="External"/><Relationship Id="rId55" Type="http://schemas.openxmlformats.org/officeDocument/2006/relationships/hyperlink" Target="https://acaai.org/" TargetMode="External"/><Relationship Id="rId76" Type="http://schemas.openxmlformats.org/officeDocument/2006/relationships/hyperlink" Target="https://www.ejprarediseases.org/" TargetMode="External"/><Relationship Id="rId97" Type="http://schemas.openxmlformats.org/officeDocument/2006/relationships/hyperlink" Target="https://gsj3.org/" TargetMode="External"/><Relationship Id="rId104" Type="http://schemas.openxmlformats.org/officeDocument/2006/relationships/hyperlink" Target="https://www.acmg.net/" TargetMode="External"/><Relationship Id="rId120" Type="http://schemas.openxmlformats.org/officeDocument/2006/relationships/hyperlink" Target="https://www.aacg.org.au/" TargetMode="External"/><Relationship Id="rId125" Type="http://schemas.openxmlformats.org/officeDocument/2006/relationships/hyperlink" Target="https://www.apshg.info/" TargetMode="External"/><Relationship Id="rId7" Type="http://schemas.openxmlformats.org/officeDocument/2006/relationships/hyperlink" Target="https://www.bragid.org.br/novo/" TargetMode="External"/><Relationship Id="rId71" Type="http://schemas.openxmlformats.org/officeDocument/2006/relationships/hyperlink" Target="https://ksrid.com/" TargetMode="External"/><Relationship Id="rId92" Type="http://schemas.openxmlformats.org/officeDocument/2006/relationships/hyperlink" Target="https://www.ksgd.org/" TargetMode="External"/><Relationship Id="rId2" Type="http://schemas.openxmlformats.org/officeDocument/2006/relationships/hyperlink" Target="https://www.ceredih.fr/home" TargetMode="External"/><Relationship Id="rId29" Type="http://schemas.openxmlformats.org/officeDocument/2006/relationships/hyperlink" Target="https://klinikimmunolojidernegi.org.tr/" TargetMode="External"/><Relationship Id="rId24" Type="http://schemas.openxmlformats.org/officeDocument/2006/relationships/hyperlink" Target="https://www.jsi-men-eki.org/" TargetMode="External"/><Relationship Id="rId40" Type="http://schemas.openxmlformats.org/officeDocument/2006/relationships/hyperlink" Target="https://www.allergy.org.au/" TargetMode="External"/><Relationship Id="rId45" Type="http://schemas.openxmlformats.org/officeDocument/2006/relationships/hyperlink" Target="https://siaaic.org/" TargetMode="External"/><Relationship Id="rId66" Type="http://schemas.openxmlformats.org/officeDocument/2006/relationships/hyperlink" Target="https://www.rarekidscan.com/" TargetMode="External"/><Relationship Id="rId87" Type="http://schemas.openxmlformats.org/officeDocument/2006/relationships/hyperlink" Target="https://www.tibbigenetik.org.tr/" TargetMode="External"/><Relationship Id="rId110" Type="http://schemas.openxmlformats.org/officeDocument/2006/relationships/hyperlink" Target="https://ssmg.org.sa/en" TargetMode="External"/><Relationship Id="rId115" Type="http://schemas.openxmlformats.org/officeDocument/2006/relationships/hyperlink" Target="https://www.alagenet.org/" TargetMode="External"/><Relationship Id="rId131" Type="http://schemas.openxmlformats.org/officeDocument/2006/relationships/hyperlink" Target="https://www.ga4gh.org/" TargetMode="External"/><Relationship Id="rId136" Type="http://schemas.openxmlformats.org/officeDocument/2006/relationships/hyperlink" Target="http://www.latingen.org/" TargetMode="External"/><Relationship Id="rId61" Type="http://schemas.openxmlformats.org/officeDocument/2006/relationships/hyperlink" Target="https://www.worldallergy.org/" TargetMode="External"/><Relationship Id="rId82" Type="http://schemas.openxmlformats.org/officeDocument/2006/relationships/hyperlink" Target="https://www.clingensoc.org/" TargetMode="External"/><Relationship Id="rId19" Type="http://schemas.openxmlformats.org/officeDocument/2006/relationships/hyperlink" Target="https://www.allergyfoundation.ca/" TargetMode="External"/><Relationship Id="rId14" Type="http://schemas.openxmlformats.org/officeDocument/2006/relationships/hyperlink" Target="https://www.focisnet.org/" TargetMode="External"/><Relationship Id="rId30" Type="http://schemas.openxmlformats.org/officeDocument/2006/relationships/hyperlink" Target="https://bshi.org.uk/" TargetMode="External"/><Relationship Id="rId35" Type="http://schemas.openxmlformats.org/officeDocument/2006/relationships/hyperlink" Target="https://www.aphia.org.au/" TargetMode="External"/><Relationship Id="rId56" Type="http://schemas.openxmlformats.org/officeDocument/2006/relationships/hyperlink" Target="https://www.abai.org/" TargetMode="External"/><Relationship Id="rId77" Type="http://schemas.openxmlformats.org/officeDocument/2006/relationships/hyperlink" Target="https://erica-rd.eu/" TargetMode="External"/><Relationship Id="rId100" Type="http://schemas.openxmlformats.org/officeDocument/2006/relationships/hyperlink" Target="https://acgh.com.co/" TargetMode="External"/><Relationship Id="rId105" Type="http://schemas.openxmlformats.org/officeDocument/2006/relationships/hyperlink" Target="https://www.nsgc.org/" TargetMode="External"/><Relationship Id="rId126" Type="http://schemas.openxmlformats.org/officeDocument/2006/relationships/hyperlink" Target="https://psgca.or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assr.regione.emilia-romagna.it/" TargetMode="External"/><Relationship Id="rId13" Type="http://schemas.openxmlformats.org/officeDocument/2006/relationships/hyperlink" Target="https://www.england.nhs.uk/medicines-2/commercial-medicines/commercial-medicines-unit/" TargetMode="External"/><Relationship Id="rId18" Type="http://schemas.openxmlformats.org/officeDocument/2006/relationships/hyperlink" Target="https://www.fda.gov/aboutfda/centersoffices/oc/officeofscientificandmedicalprograms/nctr/default.htm" TargetMode="External"/><Relationship Id="rId26" Type="http://schemas.openxmlformats.org/officeDocument/2006/relationships/hyperlink" Target="https://www.aetsa.org/" TargetMode="External"/><Relationship Id="rId39" Type="http://schemas.openxmlformats.org/officeDocument/2006/relationships/hyperlink" Target="https://www.argentina.gob.ar/jefatura/sedronar" TargetMode="External"/><Relationship Id="rId3" Type="http://schemas.openxmlformats.org/officeDocument/2006/relationships/hyperlink" Target="https://solidarites-sante.gouv.fr/ministere/acteurs/instances-rattachees/article/ceps-comite-economique-des-produits-de-sante" TargetMode="External"/><Relationship Id="rId21" Type="http://schemas.openxmlformats.org/officeDocument/2006/relationships/hyperlink" Target="https://www.ahrq.gov/research/findings/ta/index.html" TargetMode="External"/><Relationship Id="rId34" Type="http://schemas.openxmlformats.org/officeDocument/2006/relationships/hyperlink" Target="https://www.iecs.org.ar/en/institutional/" TargetMode="External"/><Relationship Id="rId42" Type="http://schemas.openxmlformats.org/officeDocument/2006/relationships/hyperlink" Target="https://www.pbs.gov.au/pbs/home" TargetMode="External"/><Relationship Id="rId7" Type="http://schemas.openxmlformats.org/officeDocument/2006/relationships/hyperlink" Target="https://www.agenas.it/" TargetMode="External"/><Relationship Id="rId12" Type="http://schemas.openxmlformats.org/officeDocument/2006/relationships/hyperlink" Target="https://www.nihr.ac.uk/" TargetMode="External"/><Relationship Id="rId17" Type="http://schemas.openxmlformats.org/officeDocument/2006/relationships/hyperlink" Target="https://icer.org/" TargetMode="External"/><Relationship Id="rId25" Type="http://schemas.openxmlformats.org/officeDocument/2006/relationships/hyperlink" Target="http://aquas.gencat.cat/ca/inici/" TargetMode="External"/><Relationship Id="rId33" Type="http://schemas.openxmlformats.org/officeDocument/2006/relationships/hyperlink" Target="https://apo.who.int/" TargetMode="External"/><Relationship Id="rId38" Type="http://schemas.openxmlformats.org/officeDocument/2006/relationships/hyperlink" Target="https://www.ghc.sa/en/" TargetMode="External"/><Relationship Id="rId46" Type="http://schemas.openxmlformats.org/officeDocument/2006/relationships/printerSettings" Target="../printerSettings/printerSettings7.bin"/><Relationship Id="rId2" Type="http://schemas.openxmlformats.org/officeDocument/2006/relationships/hyperlink" Target="https://www.rti.org/" TargetMode="External"/><Relationship Id="rId16" Type="http://schemas.openxmlformats.org/officeDocument/2006/relationships/hyperlink" Target="https://www.fda.gov/about-fda/fda-organization/center-drug-evaluation-and-research-cder" TargetMode="External"/><Relationship Id="rId20" Type="http://schemas.openxmlformats.org/officeDocument/2006/relationships/hyperlink" Target="https://www.fda.gov/aboutfda/centersoffices/officeofglobalregulatoryoperationsandpolicy/ora/default.htm" TargetMode="External"/><Relationship Id="rId29" Type="http://schemas.openxmlformats.org/officeDocument/2006/relationships/hyperlink" Target="https://www.cda-amc.ca/" TargetMode="External"/><Relationship Id="rId41" Type="http://schemas.openxmlformats.org/officeDocument/2006/relationships/hyperlink" Target="http://www.mbsonline.gov.au/internet/mbsonline/publishing.nsf/Content/Home" TargetMode="External"/><Relationship Id="rId1" Type="http://schemas.openxmlformats.org/officeDocument/2006/relationships/hyperlink" Target="https://c-path.org/" TargetMode="External"/><Relationship Id="rId6" Type="http://schemas.openxmlformats.org/officeDocument/2006/relationships/hyperlink" Target="https://www.gkv-spitzenverband.de/english/english.jsp" TargetMode="External"/><Relationship Id="rId11" Type="http://schemas.openxmlformats.org/officeDocument/2006/relationships/hyperlink" Target="https://www.nice.org.uk/" TargetMode="External"/><Relationship Id="rId24" Type="http://schemas.openxmlformats.org/officeDocument/2006/relationships/hyperlink" Target="http://www.pdci.ca/about-us/" TargetMode="External"/><Relationship Id="rId32" Type="http://schemas.openxmlformats.org/officeDocument/2006/relationships/hyperlink" Target="https://www.argentina.gob.ar/salud/conetec" TargetMode="External"/><Relationship Id="rId37" Type="http://schemas.openxmlformats.org/officeDocument/2006/relationships/hyperlink" Target="https://www.invima.gov.co/" TargetMode="External"/><Relationship Id="rId40" Type="http://schemas.openxmlformats.org/officeDocument/2006/relationships/hyperlink" Target="http://www.msac.gov.au/" TargetMode="External"/><Relationship Id="rId45" Type="http://schemas.openxmlformats.org/officeDocument/2006/relationships/hyperlink" Target="https://www.sgk.gov.tr/Home/Index2/" TargetMode="External"/><Relationship Id="rId5" Type="http://schemas.openxmlformats.org/officeDocument/2006/relationships/hyperlink" Target="https://www.g-ba.de/" TargetMode="External"/><Relationship Id="rId15" Type="http://schemas.openxmlformats.org/officeDocument/2006/relationships/hyperlink" Target="https://www.fda.gov/about-fda/fda-organization/center-biologics-evaluation-and-research-cber" TargetMode="External"/><Relationship Id="rId23" Type="http://schemas.openxmlformats.org/officeDocument/2006/relationships/hyperlink" Target="http://www.pmprb-cepmb.gc.ca/home" TargetMode="External"/><Relationship Id="rId28" Type="http://schemas.openxmlformats.org/officeDocument/2006/relationships/hyperlink" Target="https://www.mhlw.go.jp/stf/shingi/shingi-chuo_128153.html" TargetMode="External"/><Relationship Id="rId36" Type="http://schemas.openxmlformats.org/officeDocument/2006/relationships/hyperlink" Target="https://www.gov.br/conitec/pt-br" TargetMode="External"/><Relationship Id="rId10" Type="http://schemas.openxmlformats.org/officeDocument/2006/relationships/hyperlink" Target="https://www.ndph.ox.ac.uk/research/health-services-research-unit-hsru" TargetMode="External"/><Relationship Id="rId19" Type="http://schemas.openxmlformats.org/officeDocument/2006/relationships/hyperlink" Target="https://www.fda.gov/aboutfda/centersoffices/officeofmedicalproductsandtobacco/officeofscienceandhealthcoordination/ucm2018190.htm" TargetMode="External"/><Relationship Id="rId31" Type="http://schemas.openxmlformats.org/officeDocument/2006/relationships/hyperlink" Target="https://www.health-ni.gov.uk/articles/about-medicines-regulatory-group" TargetMode="External"/><Relationship Id="rId44" Type="http://schemas.openxmlformats.org/officeDocument/2006/relationships/hyperlink" Target="https://beta.sfda.gov.sa/en/national-pharmacovigilance-center" TargetMode="External"/><Relationship Id="rId4" Type="http://schemas.openxmlformats.org/officeDocument/2006/relationships/hyperlink" Target="https://assurance-maladie.ameli.fr/qui-sommes-nous" TargetMode="External"/><Relationship Id="rId9" Type="http://schemas.openxmlformats.org/officeDocument/2006/relationships/hyperlink" Target="http://www.awmsg.org/" TargetMode="External"/><Relationship Id="rId14" Type="http://schemas.openxmlformats.org/officeDocument/2006/relationships/hyperlink" Target="http://www.scottishmedicines.org.uk/" TargetMode="External"/><Relationship Id="rId22" Type="http://schemas.openxmlformats.org/officeDocument/2006/relationships/hyperlink" Target="https://www.inesss.qc.ca/en/about-us/about-the-institut.html" TargetMode="External"/><Relationship Id="rId27" Type="http://schemas.openxmlformats.org/officeDocument/2006/relationships/hyperlink" Target="https://public4.pagefreezer.com/content/FDA/28-07-2023T13:45/https:/www.fda.gov/about-fda/center-drug-evaluation-and-research-cder/office-biotechnology-products" TargetMode="External"/><Relationship Id="rId30" Type="http://schemas.openxmlformats.org/officeDocument/2006/relationships/hyperlink" Target="https://www.iqwig.de/" TargetMode="External"/><Relationship Id="rId35" Type="http://schemas.openxmlformats.org/officeDocument/2006/relationships/hyperlink" Target="https://actbr.org.br/" TargetMode="External"/><Relationship Id="rId43" Type="http://schemas.openxmlformats.org/officeDocument/2006/relationships/hyperlink" Target="https://www.hira.or.kr/main.do"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bfarm.de/DE/Home/home_node.html" TargetMode="External"/><Relationship Id="rId18" Type="http://schemas.openxmlformats.org/officeDocument/2006/relationships/hyperlink" Target="http://www.salute.gov.it/portale/home.html" TargetMode="External"/><Relationship Id="rId26" Type="http://schemas.openxmlformats.org/officeDocument/2006/relationships/hyperlink" Target="https://www.niph.go.jp/" TargetMode="External"/><Relationship Id="rId39" Type="http://schemas.openxmlformats.org/officeDocument/2006/relationships/hyperlink" Target="http://www.healthscotland.com/" TargetMode="External"/><Relationship Id="rId21" Type="http://schemas.openxmlformats.org/officeDocument/2006/relationships/hyperlink" Target="https://www.jst.go.jp/" TargetMode="External"/><Relationship Id="rId34" Type="http://schemas.openxmlformats.org/officeDocument/2006/relationships/hyperlink" Target="http://www.pharmacyregulation.org/" TargetMode="External"/><Relationship Id="rId42" Type="http://schemas.openxmlformats.org/officeDocument/2006/relationships/hyperlink" Target="https://www.ahrq.gov/" TargetMode="External"/><Relationship Id="rId47" Type="http://schemas.openxmlformats.org/officeDocument/2006/relationships/hyperlink" Target="https://www.va.gov/health/" TargetMode="External"/><Relationship Id="rId50" Type="http://schemas.openxmlformats.org/officeDocument/2006/relationships/hyperlink" Target="https://www.england.nhs.uk/commissioning/spec-services/npc-crg/blood-and-infection-group-f/specialised-immunology-and-allergy-services/" TargetMode="External"/><Relationship Id="rId55" Type="http://schemas.openxmlformats.org/officeDocument/2006/relationships/hyperlink" Target="https://www.kdca.go.kr/index.es?sid=a3" TargetMode="External"/><Relationship Id="rId63" Type="http://schemas.openxmlformats.org/officeDocument/2006/relationships/hyperlink" Target="http://www.funasa.gov.br/" TargetMode="External"/><Relationship Id="rId68" Type="http://schemas.openxmlformats.org/officeDocument/2006/relationships/hyperlink" Target="http://anlis.gov.ar/" TargetMode="External"/><Relationship Id="rId76" Type="http://schemas.openxmlformats.org/officeDocument/2006/relationships/hyperlink" Target="https://www.nhmrc.gov.au/" TargetMode="External"/><Relationship Id="rId84" Type="http://schemas.openxmlformats.org/officeDocument/2006/relationships/hyperlink" Target="https://www.pha.gov.sa/ar-sa/Pages/default.aspx" TargetMode="External"/><Relationship Id="rId7" Type="http://schemas.openxmlformats.org/officeDocument/2006/relationships/hyperlink" Target="https://www.canada.ca/en/health-canada/corporate/about-health-canada/branches-agencies/health-products-food-branch.html" TargetMode="External"/><Relationship Id="rId71" Type="http://schemas.openxmlformats.org/officeDocument/2006/relationships/hyperlink" Target="https://www.argentina.gob.ar/salud" TargetMode="External"/><Relationship Id="rId2" Type="http://schemas.openxmlformats.org/officeDocument/2006/relationships/hyperlink" Target="https://www.who.int/" TargetMode="External"/><Relationship Id="rId16" Type="http://schemas.openxmlformats.org/officeDocument/2006/relationships/hyperlink" Target="http://www.rki.de/EN/Home/homepage_node.html" TargetMode="External"/><Relationship Id="rId29" Type="http://schemas.openxmlformats.org/officeDocument/2006/relationships/hyperlink" Target="https://www.sanidad.gob.es/" TargetMode="External"/><Relationship Id="rId11" Type="http://schemas.openxmlformats.org/officeDocument/2006/relationships/hyperlink" Target="http://solidarites-sante.gouv.fr/" TargetMode="External"/><Relationship Id="rId24" Type="http://schemas.openxmlformats.org/officeDocument/2006/relationships/hyperlink" Target="https://www.mhlw.go.jp/" TargetMode="External"/><Relationship Id="rId32" Type="http://schemas.openxmlformats.org/officeDocument/2006/relationships/hyperlink" Target="https://www.csic.es/es" TargetMode="External"/><Relationship Id="rId37" Type="http://schemas.openxmlformats.org/officeDocument/2006/relationships/hyperlink" Target="https://www.nihr.ac.uk/explore-nihr/funding-programmes/health-technology-assessment.htm" TargetMode="External"/><Relationship Id="rId40" Type="http://schemas.openxmlformats.org/officeDocument/2006/relationships/hyperlink" Target="https://phw.nhs.wales/" TargetMode="External"/><Relationship Id="rId45" Type="http://schemas.openxmlformats.org/officeDocument/2006/relationships/hyperlink" Target="http://www.fda.gov/" TargetMode="External"/><Relationship Id="rId53" Type="http://schemas.openxmlformats.org/officeDocument/2006/relationships/hyperlink" Target="https://www.mohw.go.kr/" TargetMode="External"/><Relationship Id="rId58" Type="http://schemas.openxmlformats.org/officeDocument/2006/relationships/hyperlink" Target="https://www.apec.org/" TargetMode="External"/><Relationship Id="rId66" Type="http://schemas.openxmlformats.org/officeDocument/2006/relationships/hyperlink" Target="https://gulfcdc.org/en" TargetMode="External"/><Relationship Id="rId74" Type="http://schemas.openxmlformats.org/officeDocument/2006/relationships/hyperlink" Target="https://www.health.gov.au/" TargetMode="External"/><Relationship Id="rId79" Type="http://schemas.openxmlformats.org/officeDocument/2006/relationships/hyperlink" Target="https://cihr-irsc.gc.ca/e/13533.html" TargetMode="External"/><Relationship Id="rId5" Type="http://schemas.openxmlformats.org/officeDocument/2006/relationships/hyperlink" Target="http://www.ema.europa.eu/" TargetMode="External"/><Relationship Id="rId61" Type="http://schemas.openxmlformats.org/officeDocument/2006/relationships/hyperlink" Target="https://www.gov.br/saude/pt-br" TargetMode="External"/><Relationship Id="rId82" Type="http://schemas.openxmlformats.org/officeDocument/2006/relationships/hyperlink" Target="https://rarediseases.info.nih.gov/" TargetMode="External"/><Relationship Id="rId19" Type="http://schemas.openxmlformats.org/officeDocument/2006/relationships/hyperlink" Target="http://www.iss.it/" TargetMode="External"/><Relationship Id="rId4" Type="http://schemas.openxmlformats.org/officeDocument/2006/relationships/hyperlink" Target="https://www.edqm.eu/en/" TargetMode="External"/><Relationship Id="rId9" Type="http://schemas.openxmlformats.org/officeDocument/2006/relationships/hyperlink" Target="https://www.canada.ca/en/public-health.html" TargetMode="External"/><Relationship Id="rId14" Type="http://schemas.openxmlformats.org/officeDocument/2006/relationships/hyperlink" Target="https://www.bundesgesundheitsministerium.de/" TargetMode="External"/><Relationship Id="rId22" Type="http://schemas.openxmlformats.org/officeDocument/2006/relationships/hyperlink" Target="https://www.amed.go.jp/index.html" TargetMode="External"/><Relationship Id="rId27" Type="http://schemas.openxmlformats.org/officeDocument/2006/relationships/hyperlink" Target="https://www.pmda.go.jp/index.html" TargetMode="External"/><Relationship Id="rId30" Type="http://schemas.openxmlformats.org/officeDocument/2006/relationships/hyperlink" Target="https://www.ciencia.gob.es/" TargetMode="External"/><Relationship Id="rId35" Type="http://schemas.openxmlformats.org/officeDocument/2006/relationships/hyperlink" Target="http://www.mhra.gov.uk/index.htm" TargetMode="External"/><Relationship Id="rId43" Type="http://schemas.openxmlformats.org/officeDocument/2006/relationships/hyperlink" Target="https://www.cdc.gov/index.htm" TargetMode="External"/><Relationship Id="rId48" Type="http://schemas.openxmlformats.org/officeDocument/2006/relationships/hyperlink" Target="http://www.hma.eu/" TargetMode="External"/><Relationship Id="rId56" Type="http://schemas.openxmlformats.org/officeDocument/2006/relationships/hyperlink" Target="https://asean.org/" TargetMode="External"/><Relationship Id="rId64" Type="http://schemas.openxmlformats.org/officeDocument/2006/relationships/hyperlink" Target="https://www.minsalud.gov.co/English/Paginas/inicio.aspx" TargetMode="External"/><Relationship Id="rId69" Type="http://schemas.openxmlformats.org/officeDocument/2006/relationships/hyperlink" Target="https://www.argentina.gob.ar/sssalud" TargetMode="External"/><Relationship Id="rId77" Type="http://schemas.openxmlformats.org/officeDocument/2006/relationships/hyperlink" Target="https://www.saglik.gov.tr/" TargetMode="External"/><Relationship Id="rId8" Type="http://schemas.openxmlformats.org/officeDocument/2006/relationships/hyperlink" Target="https://www.canada.ca/en/health-canada.htm" TargetMode="External"/><Relationship Id="rId51" Type="http://schemas.openxmlformats.org/officeDocument/2006/relationships/hyperlink" Target="https://www.england.nhs.uk/commissioning/rdag/" TargetMode="External"/><Relationship Id="rId72" Type="http://schemas.openxmlformats.org/officeDocument/2006/relationships/hyperlink" Target="https://www.argentina.gob.ar/ciencia" TargetMode="External"/><Relationship Id="rId80" Type="http://schemas.openxmlformats.org/officeDocument/2006/relationships/hyperlink" Target="https://www.nhlbi.nih.gov/" TargetMode="External"/><Relationship Id="rId85" Type="http://schemas.openxmlformats.org/officeDocument/2006/relationships/printerSettings" Target="../printerSettings/printerSettings8.bin"/><Relationship Id="rId3" Type="http://schemas.openxmlformats.org/officeDocument/2006/relationships/hyperlink" Target="https://www.ema.europa.eu/en/committees/committee-medicinal-products-human-use-chmp" TargetMode="External"/><Relationship Id="rId12" Type="http://schemas.openxmlformats.org/officeDocument/2006/relationships/hyperlink" Target="http://ansm.sante.fr/" TargetMode="External"/><Relationship Id="rId17" Type="http://schemas.openxmlformats.org/officeDocument/2006/relationships/hyperlink" Target="https://www.aifa.gov.it/" TargetMode="External"/><Relationship Id="rId25" Type="http://schemas.openxmlformats.org/officeDocument/2006/relationships/hyperlink" Target="http://www.nihs.go.jp/index-j.html" TargetMode="External"/><Relationship Id="rId33" Type="http://schemas.openxmlformats.org/officeDocument/2006/relationships/hyperlink" Target="https://www.gov.uk/government/organisations/department-of-health-and-social-care" TargetMode="External"/><Relationship Id="rId38" Type="http://schemas.openxmlformats.org/officeDocument/2006/relationships/hyperlink" Target="https://www.publichealth.hscni.net/" TargetMode="External"/><Relationship Id="rId46" Type="http://schemas.openxmlformats.org/officeDocument/2006/relationships/hyperlink" Target="https://www.hhs.gov/" TargetMode="External"/><Relationship Id="rId59" Type="http://schemas.openxmlformats.org/officeDocument/2006/relationships/hyperlink" Target="https://www.paho.org/en" TargetMode="External"/><Relationship Id="rId67" Type="http://schemas.openxmlformats.org/officeDocument/2006/relationships/hyperlink" Target="https://www.argentina.gob.ar/anmat" TargetMode="External"/><Relationship Id="rId20" Type="http://schemas.openxmlformats.org/officeDocument/2006/relationships/hyperlink" Target="https://www8.cao.go.jp/cstp/stmain.html" TargetMode="External"/><Relationship Id="rId41" Type="http://schemas.openxmlformats.org/officeDocument/2006/relationships/hyperlink" Target="https://www.acf.hhs.gov/" TargetMode="External"/><Relationship Id="rId54" Type="http://schemas.openxmlformats.org/officeDocument/2006/relationships/hyperlink" Target="https://www.mfds.go.kr/eng/index.do" TargetMode="External"/><Relationship Id="rId62" Type="http://schemas.openxmlformats.org/officeDocument/2006/relationships/hyperlink" Target="https://conselho.saude.gov.br/" TargetMode="External"/><Relationship Id="rId70" Type="http://schemas.openxmlformats.org/officeDocument/2006/relationships/hyperlink" Target="https://www.tga.gov.au/" TargetMode="External"/><Relationship Id="rId75" Type="http://schemas.openxmlformats.org/officeDocument/2006/relationships/hyperlink" Target="https://www.aihw.gov.au/" TargetMode="External"/><Relationship Id="rId83" Type="http://schemas.openxmlformats.org/officeDocument/2006/relationships/hyperlink" Target="https://www.niaid.nih.gov/" TargetMode="External"/><Relationship Id="rId1" Type="http://schemas.openxmlformats.org/officeDocument/2006/relationships/hyperlink" Target="http://www.ahwp.info/index.php/" TargetMode="External"/><Relationship Id="rId6" Type="http://schemas.openxmlformats.org/officeDocument/2006/relationships/hyperlink" Target="https://www.who.int/europe/home?v=welcome" TargetMode="External"/><Relationship Id="rId15" Type="http://schemas.openxmlformats.org/officeDocument/2006/relationships/hyperlink" Target="https://www.pei.de/DE/home/home-node.html" TargetMode="External"/><Relationship Id="rId23" Type="http://schemas.openxmlformats.org/officeDocument/2006/relationships/hyperlink" Target="https://www.mext.go.jp/index.htm" TargetMode="External"/><Relationship Id="rId28" Type="http://schemas.openxmlformats.org/officeDocument/2006/relationships/hyperlink" Target="https://www.wam.go.jp/hp/saitemap_new-tabid-1197/" TargetMode="External"/><Relationship Id="rId36" Type="http://schemas.openxmlformats.org/officeDocument/2006/relationships/hyperlink" Target="https://www.england.nhs.uk/" TargetMode="External"/><Relationship Id="rId49" Type="http://schemas.openxmlformats.org/officeDocument/2006/relationships/hyperlink" Target="https://www.ecdc.europa.eu/en" TargetMode="External"/><Relationship Id="rId57" Type="http://schemas.openxmlformats.org/officeDocument/2006/relationships/hyperlink" Target="https://www.who.int/southeastasia" TargetMode="External"/><Relationship Id="rId10" Type="http://schemas.openxmlformats.org/officeDocument/2006/relationships/hyperlink" Target="https://www.has-sante.fr/" TargetMode="External"/><Relationship Id="rId31" Type="http://schemas.openxmlformats.org/officeDocument/2006/relationships/hyperlink" Target="https://www.aemps.gob.es/" TargetMode="External"/><Relationship Id="rId44" Type="http://schemas.openxmlformats.org/officeDocument/2006/relationships/hyperlink" Target="https://www.nih.gov/about-nih/who-we-are" TargetMode="External"/><Relationship Id="rId52" Type="http://schemas.openxmlformats.org/officeDocument/2006/relationships/hyperlink" Target="https://www.england.nhs.uk/commissioning/spec-services/npc-crg/group-e/specialised-paediatric-allergy-immunology-and-infectious-disease/" TargetMode="External"/><Relationship Id="rId60" Type="http://schemas.openxmlformats.org/officeDocument/2006/relationships/hyperlink" Target="https://www.gov.br/anvisa/pt-br/english" TargetMode="External"/><Relationship Id="rId65" Type="http://schemas.openxmlformats.org/officeDocument/2006/relationships/hyperlink" Target="https://www.moh.gov.sa/en/Pages/Default.aspx" TargetMode="External"/><Relationship Id="rId73" Type="http://schemas.openxmlformats.org/officeDocument/2006/relationships/hyperlink" Target="https://www.conicet.gov.ar/" TargetMode="External"/><Relationship Id="rId78" Type="http://schemas.openxmlformats.org/officeDocument/2006/relationships/hyperlink" Target="https://www.titck.gov.tr/" TargetMode="External"/><Relationship Id="rId81" Type="http://schemas.openxmlformats.org/officeDocument/2006/relationships/hyperlink" Target="https://www.sfda.gov.sa/"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www.policlinico.mi.it/en/units/33/medicine-immunology-and-allergology" TargetMode="External"/><Relationship Id="rId18" Type="http://schemas.openxmlformats.org/officeDocument/2006/relationships/hyperlink" Target="https://vhir.vallhebron.com/en/society/news/jeffrey-modell-foundation-recognizes-vall-dhebron-centre-excellence" TargetMode="External"/><Relationship Id="rId26" Type="http://schemas.openxmlformats.org/officeDocument/2006/relationships/hyperlink" Target="https://research.childrensnational.org/center-for-cancer-and-immunology/research/immunology-immunodeficiency" TargetMode="External"/><Relationship Id="rId39" Type="http://schemas.openxmlformats.org/officeDocument/2006/relationships/hyperlink" Target="https://www.ucihealth.org/medical-services/allergy-immunology" TargetMode="External"/><Relationship Id="rId21" Type="http://schemas.openxmlformats.org/officeDocument/2006/relationships/hyperlink" Target="https://www.newcastle-hospitals.nhs.uk/services/immunology-and-allergy-unit/" TargetMode="External"/><Relationship Id="rId34" Type="http://schemas.openxmlformats.org/officeDocument/2006/relationships/hyperlink" Target="https://www.mayoclinic.org/departments-centers/primary-immunodeficiency-center-minnesota/sections/research/rsc-20564251" TargetMode="External"/><Relationship Id="rId42" Type="http://schemas.openxmlformats.org/officeDocument/2006/relationships/hyperlink" Target="https://www.stjude.org/research/centers-of-excellence/coe-iii.html" TargetMode="External"/><Relationship Id="rId47" Type="http://schemas.openxmlformats.org/officeDocument/2006/relationships/hyperlink" Target="https://aapidp.com.ar/cartilla.php?centros=1" TargetMode="External"/><Relationship Id="rId50" Type="http://schemas.openxmlformats.org/officeDocument/2006/relationships/hyperlink" Target="https://aapidp.com.ar/cartilla.php?centros=1" TargetMode="External"/><Relationship Id="rId55" Type="http://schemas.openxmlformats.org/officeDocument/2006/relationships/hyperlink" Target="https://aapidp.com.ar/cartilla.php?centros=1" TargetMode="External"/><Relationship Id="rId63" Type="http://schemas.openxmlformats.org/officeDocument/2006/relationships/hyperlink" Target="https://curf.com.ar/especialidades/Alergia%20e%20Inmunolog%C3%ADa/Staff/pediatricos/TQwzZerCHsi4R2Rnnfug?sec=pediatricos" TargetMode="External"/><Relationship Id="rId68" Type="http://schemas.openxmlformats.org/officeDocument/2006/relationships/hyperlink" Target="https://aapidp.com.ar/cartilla.php?centros=1" TargetMode="External"/><Relationship Id="rId76" Type="http://schemas.openxmlformats.org/officeDocument/2006/relationships/hyperlink" Target="https://www.kfshrc.edu.sa/ar/healthcare/specialties-and-centers/specialties-and-centers-riyadh/pediatrics" TargetMode="External"/><Relationship Id="rId84" Type="http://schemas.openxmlformats.org/officeDocument/2006/relationships/hyperlink" Target="https://www.expmedndm.ox.ac.uk/research/clinical-immunology" TargetMode="External"/><Relationship Id="rId7" Type="http://schemas.openxmlformats.org/officeDocument/2006/relationships/hyperlink" Target="https://hopital-necker.aphp.fr/immuno-hematologie-pediatrique" TargetMode="External"/><Relationship Id="rId71" Type="http://schemas.openxmlformats.org/officeDocument/2006/relationships/hyperlink" Target="https://aapidp.com.ar/cartilla.php?centros=1" TargetMode="External"/><Relationship Id="rId2" Type="http://schemas.openxmlformats.org/officeDocument/2006/relationships/hyperlink" Target="https://www.monash.edu/medicine/translational/immunology/research/allergy-clinical-immunology" TargetMode="External"/><Relationship Id="rId16" Type="http://schemas.openxmlformats.org/officeDocument/2006/relationships/hyperlink" Target="https://www.saludadiario.es/hospital/el-gregorio-maranon-centro-de-referencia-nacional-en-inmunodeficiencias-primarias/" TargetMode="External"/><Relationship Id="rId29" Type="http://schemas.openxmlformats.org/officeDocument/2006/relationships/hyperlink" Target="https://www.cincinnatichildrens.org/service/d/dchi" TargetMode="External"/><Relationship Id="rId11" Type="http://schemas.openxmlformats.org/officeDocument/2006/relationships/hyperlink" Target="https://www.uniklinikum-dresden.de/de/das-klinikum/universitaetscentren/universitaetscentrum-fuer-chronische-immundefizienzen" TargetMode="External"/><Relationship Id="rId24" Type="http://schemas.openxmlformats.org/officeDocument/2006/relationships/hyperlink" Target="https://www.chla.org/clinical-immunology-and-allergy/primary-immunodeficiencies-diagnostic-and-research-program" TargetMode="External"/><Relationship Id="rId32" Type="http://schemas.openxmlformats.org/officeDocument/2006/relationships/hyperlink" Target="https://www.medschool.lsuhsc.edu/Pediatrics/jmc_about.aspx" TargetMode="External"/><Relationship Id="rId37" Type="http://schemas.openxmlformats.org/officeDocument/2006/relationships/hyperlink" Target="https://www.stlouischildrens.org/media-newsroom/news-releases/jeffrey-modell-foundation-offers-hope-children-primary" TargetMode="External"/><Relationship Id="rId40" Type="http://schemas.openxmlformats.org/officeDocument/2006/relationships/hyperlink" Target="https://www.uhhospitals.org/rainbow/services/pediatric-allergy-and-immunology/conditions-and-treatments/jeffrey-modell-diagnostic-center-for-primary-immunodeficiencies" TargetMode="External"/><Relationship Id="rId45" Type="http://schemas.openxmlformats.org/officeDocument/2006/relationships/hyperlink" Target="http://www.bezrodnik.com.ar/" TargetMode="External"/><Relationship Id="rId53" Type="http://schemas.openxmlformats.org/officeDocument/2006/relationships/hyperlink" Target="https://aapidp.com.ar/cartilla.php?centros=1" TargetMode="External"/><Relationship Id="rId58" Type="http://schemas.openxmlformats.org/officeDocument/2006/relationships/hyperlink" Target="https://aapidp.com.ar/cartilla.php?centros=1" TargetMode="External"/><Relationship Id="rId66" Type="http://schemas.openxmlformats.org/officeDocument/2006/relationships/hyperlink" Target="https://sanatorioaconcagua.com/servicio-alergia.html" TargetMode="External"/><Relationship Id="rId74" Type="http://schemas.openxmlformats.org/officeDocument/2006/relationships/hyperlink" Target="https://aapidp.com.ar/cartilla.php?centros=1" TargetMode="External"/><Relationship Id="rId79" Type="http://schemas.openxmlformats.org/officeDocument/2006/relationships/hyperlink" Target="https://hospitalinfantildesanjose.org.co/nuestro-hospital.html?view=category&amp;id=67" TargetMode="External"/><Relationship Id="rId87" Type="http://schemas.openxmlformats.org/officeDocument/2006/relationships/printerSettings" Target="../printerSettings/printerSettings9.bin"/><Relationship Id="rId5" Type="http://schemas.openxmlformats.org/officeDocument/2006/relationships/hyperlink" Target="https://www.rch.org.au/immunology/" TargetMode="External"/><Relationship Id="rId61" Type="http://schemas.openxmlformats.org/officeDocument/2006/relationships/hyperlink" Target="https://www.ms.gba.gov.ar/sitios/htetamanti/servicios/" TargetMode="External"/><Relationship Id="rId82" Type="http://schemas.openxmlformats.org/officeDocument/2006/relationships/hyperlink" Target="https://ankarasehir.saglik.gov.tr/TR-368699/cocuk-immunoloji-ve-alerji-hastaliklari.html" TargetMode="External"/><Relationship Id="rId19" Type="http://schemas.openxmlformats.org/officeDocument/2006/relationships/hyperlink" Target="https://www.gosh.ae/conditions/immunology" TargetMode="External"/><Relationship Id="rId4" Type="http://schemas.openxmlformats.org/officeDocument/2006/relationships/hyperlink" Target="https://www.wehi.edu.au/researcher/phil-hodgkin/" TargetMode="External"/><Relationship Id="rId9" Type="http://schemas.openxmlformats.org/officeDocument/2006/relationships/hyperlink" Target="https://www.medizin.uni-tuebingen.de/de/das-klinikum/einrichtungen/institute/immunologie" TargetMode="External"/><Relationship Id="rId14" Type="http://schemas.openxmlformats.org/officeDocument/2006/relationships/hyperlink" Target="https://www.clinicbarcelona.org/servicio/inmunologia" TargetMode="External"/><Relationship Id="rId22" Type="http://schemas.openxmlformats.org/officeDocument/2006/relationships/hyperlink" Target="https://www.luriechildrens.org/en/specialties-conditions/pediatric-allergy-immunology/" TargetMode="External"/><Relationship Id="rId27" Type="http://schemas.openxmlformats.org/officeDocument/2006/relationships/hyperlink" Target="https://childrenswi.org/medical-care/immune-deficiency" TargetMode="External"/><Relationship Id="rId30" Type="http://schemas.openxmlformats.org/officeDocument/2006/relationships/hyperlink" Target="https://www.dukehealth.org/pediatric-treatments/pediatric-allergy-and-immunology/primary-immunodeficiency-diseases?docsShowing=10&amp;showMiniFAD=1&amp;scrollPos=598.359375" TargetMode="External"/><Relationship Id="rId35" Type="http://schemas.openxmlformats.org/officeDocument/2006/relationships/hyperlink" Target="https://musckids.org/our-services/immunology-services" TargetMode="External"/><Relationship Id="rId43" Type="http://schemas.openxmlformats.org/officeDocument/2006/relationships/hyperlink" Target="https://aapidp.com.ar/cartilla.php?centros=1" TargetMode="External"/><Relationship Id="rId48" Type="http://schemas.openxmlformats.org/officeDocument/2006/relationships/hyperlink" Target="https://buenosaires.gob.ar/salud/hospitales-y-establecimientos-de-salud/hospital-de-ninos-dr-ricardo-gutierrez/inmunologia" TargetMode="External"/><Relationship Id="rId56" Type="http://schemas.openxmlformats.org/officeDocument/2006/relationships/hyperlink" Target="https://aapidp.com.ar/cartilla.php?centros=1" TargetMode="External"/><Relationship Id="rId64" Type="http://schemas.openxmlformats.org/officeDocument/2006/relationships/hyperlink" Target="https://salud.cordoba.gob.ar/hospital-infantil/" TargetMode="External"/><Relationship Id="rId69" Type="http://schemas.openxmlformats.org/officeDocument/2006/relationships/hyperlink" Target="https://aapidp.com.ar/cartilla.php?centros=1" TargetMode="External"/><Relationship Id="rId77" Type="http://schemas.openxmlformats.org/officeDocument/2006/relationships/hyperlink" Target="https://memoria.ebc.com.br/agenciabrasil/noticia/2009-04-28/sao-paulo-inaugura-primeiro-centro-de-imunodeficiencia-primaria-da-america-latina" TargetMode="External"/><Relationship Id="rId8" Type="http://schemas.openxmlformats.org/officeDocument/2006/relationships/hyperlink" Target="https://www.orpha.net/fr/expert-centres/centre/174826?orphaCode=174826" TargetMode="External"/><Relationship Id="rId51" Type="http://schemas.openxmlformats.org/officeDocument/2006/relationships/hyperlink" Target="https://aapidp.com.ar/cartilla.php?centros=1" TargetMode="External"/><Relationship Id="rId72" Type="http://schemas.openxmlformats.org/officeDocument/2006/relationships/hyperlink" Target="https://aapidp.com.ar/cartilla.php?centros=1" TargetMode="External"/><Relationship Id="rId80" Type="http://schemas.openxmlformats.org/officeDocument/2006/relationships/hyperlink" Target="https://fundacion-fip.org/cjmc/" TargetMode="External"/><Relationship Id="rId85" Type="http://schemas.openxmlformats.org/officeDocument/2006/relationships/hyperlink" Target="https://muhc.ca/clinical-departements-services/allergy-Immunology" TargetMode="External"/><Relationship Id="rId3" Type="http://schemas.openxmlformats.org/officeDocument/2006/relationships/hyperlink" Target="https://www.burnet.edu.au/research/working-groups/diagnostic-markers-in-chronic-immune-disorders-group/" TargetMode="External"/><Relationship Id="rId12" Type="http://schemas.openxmlformats.org/officeDocument/2006/relationships/hyperlink" Target="https://www.uniklinik-freiburg.de/rheuim.html" TargetMode="External"/><Relationship Id="rId17" Type="http://schemas.openxmlformats.org/officeDocument/2006/relationships/hyperlink" Target="https://www.sjdhospitalbarcelona.org/es/servicios-asistenciales/alergia-inmunologia-clinica" TargetMode="External"/><Relationship Id="rId25" Type="http://schemas.openxmlformats.org/officeDocument/2006/relationships/hyperlink" Target="https://www.chop.edu/centers-programs/immunology-service/why-choose-us" TargetMode="External"/><Relationship Id="rId33" Type="http://schemas.openxmlformats.org/officeDocument/2006/relationships/hyperlink" Target="https://www.stanfordchildrens.org/en/services/immune-deficiency" TargetMode="External"/><Relationship Id="rId38" Type="http://schemas.openxmlformats.org/officeDocument/2006/relationships/hyperlink" Target="https://www.texaschildrens.org/departments/allergy-immunology" TargetMode="External"/><Relationship Id="rId46" Type="http://schemas.openxmlformats.org/officeDocument/2006/relationships/hyperlink" Target="https://aapidp.com.ar/cartilla.php?centros=1" TargetMode="External"/><Relationship Id="rId59" Type="http://schemas.openxmlformats.org/officeDocument/2006/relationships/hyperlink" Target="https://aapidp.com.ar/cartilla.php?centros=1" TargetMode="External"/><Relationship Id="rId67" Type="http://schemas.openxmlformats.org/officeDocument/2006/relationships/hyperlink" Target="https://sanatoriodelacanada.com/servicios-2/" TargetMode="External"/><Relationship Id="rId20" Type="http://schemas.openxmlformats.org/officeDocument/2006/relationships/hyperlink" Target="https://www.leedsth.nhs.uk/services/allergy-and-clinical-immunology/" TargetMode="External"/><Relationship Id="rId41" Type="http://schemas.openxmlformats.org/officeDocument/2006/relationships/hyperlink" Target="https://www.ucsfbenioffchildrens.org/clinics/immunology-center" TargetMode="External"/><Relationship Id="rId54" Type="http://schemas.openxmlformats.org/officeDocument/2006/relationships/hyperlink" Target="https://aapidp.com.ar/cartilla.php?centros=1" TargetMode="External"/><Relationship Id="rId62" Type="http://schemas.openxmlformats.org/officeDocument/2006/relationships/hyperlink" Target="https://sitio.cnf.com.ar/staff-medico/" TargetMode="External"/><Relationship Id="rId70" Type="http://schemas.openxmlformats.org/officeDocument/2006/relationships/hyperlink" Target="https://osepmendoza.com.ar/web/hospital-fleming/" TargetMode="External"/><Relationship Id="rId75" Type="http://schemas.openxmlformats.org/officeDocument/2006/relationships/hyperlink" Target="https://allergyandimmunology.heartofengland.nhs.uk/immunodeficiency/" TargetMode="External"/><Relationship Id="rId83" Type="http://schemas.openxmlformats.org/officeDocument/2006/relationships/hyperlink" Target="https://www.ucl.ac.uk/immunity-transplantation" TargetMode="External"/><Relationship Id="rId1" Type="http://schemas.openxmlformats.org/officeDocument/2006/relationships/hyperlink" Target="https://www.alfredhealth.org.au/services/asthma-allergy-clinical-immunology-clinic" TargetMode="External"/><Relationship Id="rId6" Type="http://schemas.openxmlformats.org/officeDocument/2006/relationships/hyperlink" Target="https://www.thermh.org.au/services/immunology-allergy" TargetMode="External"/><Relationship Id="rId15" Type="http://schemas.openxmlformats.org/officeDocument/2006/relationships/hyperlink" Target="https://hospitaluvrocio.es/unidad/pediatria/" TargetMode="External"/><Relationship Id="rId23" Type="http://schemas.openxmlformats.org/officeDocument/2006/relationships/hyperlink" Target="https://www.childrenshospital.org/programs/immunology-program" TargetMode="External"/><Relationship Id="rId28" Type="http://schemas.openxmlformats.org/officeDocument/2006/relationships/hyperlink" Target="https://pediatrics.northwell.edu/departments-services/jeffrey-modell-diagnostic-center" TargetMode="External"/><Relationship Id="rId36" Type="http://schemas.openxmlformats.org/officeDocument/2006/relationships/hyperlink" Target="https://www.nationwidechildrens.org/newsroom/news-releases/2019/05/jeffrey-modell-foundation" TargetMode="External"/><Relationship Id="rId49" Type="http://schemas.openxmlformats.org/officeDocument/2006/relationships/hyperlink" Target="https://buenosaires.gob.ar/salud/hospital-pedro-elizalde/inmunologia" TargetMode="External"/><Relationship Id="rId57" Type="http://schemas.openxmlformats.org/officeDocument/2006/relationships/hyperlink" Target="https://aapidp.com.ar/cartilla.php?centros=1" TargetMode="External"/><Relationship Id="rId10" Type="http://schemas.openxmlformats.org/officeDocument/2006/relationships/hyperlink" Target="https://www.uniklinik-ulm.de/immunologie.html" TargetMode="External"/><Relationship Id="rId31" Type="http://schemas.openxmlformats.org/officeDocument/2006/relationships/hyperlink" Target="https://www.hopkinscim.org/initiatives/about-pi/" TargetMode="External"/><Relationship Id="rId44" Type="http://schemas.openxmlformats.org/officeDocument/2006/relationships/hyperlink" Target="https://aapidp.com.ar/cartilla.php?centros=1" TargetMode="External"/><Relationship Id="rId52" Type="http://schemas.openxmlformats.org/officeDocument/2006/relationships/hyperlink" Target="https://aapidp.com.ar/cartilla.php?centros=1" TargetMode="External"/><Relationship Id="rId60" Type="http://schemas.openxmlformats.org/officeDocument/2006/relationships/hyperlink" Target="https://aapidp.com.ar/cartilla.php?centros=1" TargetMode="External"/><Relationship Id="rId65" Type="http://schemas.openxmlformats.org/officeDocument/2006/relationships/hyperlink" Target="https://aapidp.com.ar/cartilla.php?centros=1" TargetMode="External"/><Relationship Id="rId73" Type="http://schemas.openxmlformats.org/officeDocument/2006/relationships/hyperlink" Target="https://aapidp.com.ar/cartilla.php?centros=1" TargetMode="External"/><Relationship Id="rId78" Type="http://schemas.openxmlformats.org/officeDocument/2006/relationships/hyperlink" Target="https://pequenoprincipe.org.br/noticia/imunodeficiencia-primaria-diagnostico-precoce-salva-vidas/" TargetMode="External"/><Relationship Id="rId81" Type="http://schemas.openxmlformats.org/officeDocument/2006/relationships/hyperlink" Target="https://marmaraeah.saglik.gov.tr/TR-1135300/cocuk-immunolojisi-amp-alerji-hastaliklari.html" TargetMode="External"/><Relationship Id="rId86" Type="http://schemas.openxmlformats.org/officeDocument/2006/relationships/hyperlink" Target="http://www.bcchildrens.ca/our-services/clinics/immun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sheetPr>
  <dimension ref="A1:F216"/>
  <sheetViews>
    <sheetView showGridLines="0" tabSelected="1" workbookViewId="0">
      <pane xSplit="2" ySplit="4" topLeftCell="C5" activePane="bottomRight" state="frozen"/>
      <selection pane="topRight"/>
      <selection pane="bottomLeft"/>
      <selection pane="bottomRight" activeCell="C5" sqref="C5"/>
    </sheetView>
  </sheetViews>
  <sheetFormatPr defaultColWidth="14.140625" defaultRowHeight="15" customHeight="1"/>
  <cols>
    <col min="1" max="1" width="6.140625" style="8" customWidth="1"/>
    <col min="2" max="2" width="50.85546875" style="8" customWidth="1"/>
    <col min="3" max="3" width="24.85546875" style="8" customWidth="1"/>
    <col min="4" max="4" width="43.140625" style="8" customWidth="1"/>
    <col min="5" max="5" width="14.7109375" style="10" customWidth="1"/>
    <col min="6" max="6" width="36.85546875" style="10" customWidth="1"/>
    <col min="7" max="16384" width="14.140625" style="8"/>
  </cols>
  <sheetData>
    <row r="1" spans="1:6" ht="24.75" customHeight="1">
      <c r="A1" s="57" t="s">
        <v>0</v>
      </c>
      <c r="B1" s="57"/>
      <c r="C1" s="57"/>
      <c r="D1" s="57"/>
      <c r="E1" s="57"/>
      <c r="F1" s="57"/>
    </row>
    <row r="2" spans="1:6" ht="15" customHeight="1">
      <c r="A2" s="58" t="s">
        <v>1</v>
      </c>
      <c r="B2" s="59"/>
      <c r="C2" s="59"/>
      <c r="D2" s="59"/>
      <c r="E2" s="59"/>
      <c r="F2" s="59"/>
    </row>
    <row r="3" spans="1:6" ht="15" customHeight="1">
      <c r="A3" s="59"/>
      <c r="B3" s="59"/>
      <c r="C3" s="59"/>
      <c r="D3" s="59"/>
      <c r="E3" s="59"/>
      <c r="F3" s="59"/>
    </row>
    <row r="4" spans="1:6" ht="28.5" customHeight="1">
      <c r="A4" s="7" t="s">
        <v>2</v>
      </c>
      <c r="B4" s="7" t="s">
        <v>3</v>
      </c>
      <c r="C4" s="7" t="s">
        <v>4</v>
      </c>
      <c r="D4" s="7" t="s">
        <v>5</v>
      </c>
      <c r="E4" s="7" t="s">
        <v>1572</v>
      </c>
      <c r="F4" s="7" t="s">
        <v>6</v>
      </c>
    </row>
    <row r="5" spans="1:6" ht="15.95" customHeight="1">
      <c r="A5" s="5">
        <v>1</v>
      </c>
      <c r="B5" s="36" t="str">
        <f>HYPERLINK("https://www.thelancet.com/lancet-people","The Lancet")</f>
        <v>The Lancet</v>
      </c>
      <c r="C5" s="9">
        <v>202.73099999999999</v>
      </c>
      <c r="D5" s="17" t="s">
        <v>7</v>
      </c>
      <c r="E5" s="37" t="s">
        <v>1679</v>
      </c>
      <c r="F5" s="6"/>
    </row>
    <row r="6" spans="1:6" ht="15.95" customHeight="1">
      <c r="A6" s="5">
        <v>2</v>
      </c>
      <c r="B6" s="36" t="str">
        <f>HYPERLINK("https://www.nejm.org/about-nejm/editors-and-publishers","The New England Journal of Medicine")</f>
        <v>The New England Journal of Medicine</v>
      </c>
      <c r="C6" s="9">
        <v>96.2</v>
      </c>
      <c r="D6" s="17" t="s">
        <v>8</v>
      </c>
      <c r="E6" s="37" t="s">
        <v>1679</v>
      </c>
      <c r="F6" s="6"/>
    </row>
    <row r="7" spans="1:6" ht="15.95" customHeight="1">
      <c r="A7" s="5">
        <v>3</v>
      </c>
      <c r="B7" s="36" t="str">
        <f>HYPERLINK("http://www.bmj.com/about-bmj","British Medical Journal")</f>
        <v>British Medical Journal</v>
      </c>
      <c r="C7" s="9">
        <v>93.332999999999998</v>
      </c>
      <c r="D7" s="17" t="s">
        <v>175</v>
      </c>
      <c r="E7" s="37" t="s">
        <v>1679</v>
      </c>
      <c r="F7" s="6"/>
    </row>
    <row r="8" spans="1:6" ht="15.95" customHeight="1">
      <c r="A8" s="5">
        <v>4</v>
      </c>
      <c r="B8" s="36" t="str">
        <f>HYPERLINK("https://www.nature.com/nri/","Nature Reviews Immunology")</f>
        <v>Nature Reviews Immunology</v>
      </c>
      <c r="C8" s="9">
        <v>67.7</v>
      </c>
      <c r="D8" s="17" t="s">
        <v>176</v>
      </c>
      <c r="E8" s="34">
        <v>3</v>
      </c>
      <c r="F8" s="6"/>
    </row>
    <row r="9" spans="1:6" ht="15.95" customHeight="1">
      <c r="A9" s="5">
        <v>5</v>
      </c>
      <c r="B9" s="36" t="str">
        <f>HYPERLINK("https://www.cell.com/cell/editorial-board","Cell")</f>
        <v>Cell</v>
      </c>
      <c r="C9" s="9">
        <v>66.849999999999994</v>
      </c>
      <c r="D9" s="17" t="s">
        <v>165</v>
      </c>
      <c r="E9" s="37" t="s">
        <v>1679</v>
      </c>
      <c r="F9" s="6"/>
    </row>
    <row r="10" spans="1:6" ht="15.95" customHeight="1">
      <c r="A10" s="5">
        <v>6</v>
      </c>
      <c r="B10" s="36" t="str">
        <f>HYPERLINK("https://jamanetwork.com/journals/jama","JAMA")</f>
        <v>JAMA</v>
      </c>
      <c r="C10" s="9">
        <v>63.1</v>
      </c>
      <c r="D10" s="17" t="s">
        <v>171</v>
      </c>
      <c r="E10" s="37" t="s">
        <v>1679</v>
      </c>
      <c r="F10" s="6"/>
    </row>
    <row r="11" spans="1:6" ht="15.95" customHeight="1">
      <c r="A11" s="5">
        <v>7</v>
      </c>
      <c r="B11" s="36" t="str">
        <f>HYPERLINK("https://www.nature.com/nature/about/editors","Nature")</f>
        <v>Nature</v>
      </c>
      <c r="C11" s="9">
        <v>50.5</v>
      </c>
      <c r="D11" s="17" t="s">
        <v>163</v>
      </c>
      <c r="E11" s="37" t="s">
        <v>1679</v>
      </c>
      <c r="F11" s="6"/>
    </row>
    <row r="12" spans="1:6" ht="15.95" customHeight="1">
      <c r="A12" s="5">
        <v>8</v>
      </c>
      <c r="B12" s="36" t="str">
        <f>HYPERLINK("https://www.nature.com/cr/about/editorial-board","Cell Research")</f>
        <v>Cell Research</v>
      </c>
      <c r="C12" s="9">
        <v>46.296999999999997</v>
      </c>
      <c r="D12" s="17" t="s">
        <v>167</v>
      </c>
      <c r="E12" s="37" t="s">
        <v>1679</v>
      </c>
      <c r="F12" s="6"/>
    </row>
    <row r="13" spans="1:6" ht="15.95" customHeight="1">
      <c r="A13" s="5">
        <v>9</v>
      </c>
      <c r="B13" s="36" t="str">
        <f>HYPERLINK("https://www.science.org/journal/science","Science")</f>
        <v>Science</v>
      </c>
      <c r="C13" s="9">
        <v>44.7</v>
      </c>
      <c r="D13" s="17" t="s">
        <v>164</v>
      </c>
      <c r="E13" s="37" t="s">
        <v>1679</v>
      </c>
      <c r="F13" s="6"/>
    </row>
    <row r="14" spans="1:6" ht="15.95" customHeight="1">
      <c r="A14" s="5">
        <v>10</v>
      </c>
      <c r="B14" s="36" t="str">
        <f>HYPERLINK("https://www.nature.com/nrg/","Nature Reviews Genetics")</f>
        <v>Nature Reviews Genetics</v>
      </c>
      <c r="C14" s="9">
        <v>39.1</v>
      </c>
      <c r="D14" s="17" t="s">
        <v>1662</v>
      </c>
      <c r="E14" s="34" t="s">
        <v>2030</v>
      </c>
      <c r="F14" s="6"/>
    </row>
    <row r="15" spans="1:6" ht="15.95" customHeight="1">
      <c r="A15" s="5">
        <v>11</v>
      </c>
      <c r="B15" s="36" t="str">
        <f>HYPERLINK("https://www.nature.com/ng/","Nature Genetics")</f>
        <v>Nature Genetics</v>
      </c>
      <c r="C15" s="9">
        <v>31.7</v>
      </c>
      <c r="D15" s="17" t="s">
        <v>1661</v>
      </c>
      <c r="E15" s="34" t="s">
        <v>2030</v>
      </c>
      <c r="F15" s="6"/>
    </row>
    <row r="16" spans="1:6" ht="15.95" customHeight="1">
      <c r="A16" s="5">
        <v>12</v>
      </c>
      <c r="B16" s="36" t="str">
        <f>HYPERLINK("https://www.nature.com/ni/","Nature Immunology")</f>
        <v>Nature Immunology</v>
      </c>
      <c r="C16" s="9">
        <v>27.7</v>
      </c>
      <c r="D16" s="17" t="s">
        <v>178</v>
      </c>
      <c r="E16" s="34">
        <v>3</v>
      </c>
      <c r="F16" s="6"/>
    </row>
    <row r="17" spans="1:6" ht="15.95" customHeight="1">
      <c r="A17" s="5">
        <v>13</v>
      </c>
      <c r="B17" s="36" t="str">
        <f>HYPERLINK("https://www.annualreviews.org/content/journals/immunol","Annual Review of Immunology")</f>
        <v>Annual Review of Immunology</v>
      </c>
      <c r="C17" s="9">
        <v>26.9</v>
      </c>
      <c r="D17" s="17" t="s">
        <v>177</v>
      </c>
      <c r="E17" s="34">
        <v>3</v>
      </c>
      <c r="F17" s="6"/>
    </row>
    <row r="18" spans="1:6" ht="15.95" customHeight="1">
      <c r="A18" s="5">
        <v>14</v>
      </c>
      <c r="B18" s="36" t="str">
        <f>HYPERLINK("https://www.longdom.org/clinical-cellular-immunology.html","Journal of Clinical and Cellular Immunology")</f>
        <v>Journal of Clinical and Cellular Immunology</v>
      </c>
      <c r="C18" s="9">
        <v>24.12</v>
      </c>
      <c r="D18" s="17" t="s">
        <v>261</v>
      </c>
      <c r="E18" s="34">
        <v>3</v>
      </c>
      <c r="F18" s="6"/>
    </row>
    <row r="19" spans="1:6" ht="15.95" customHeight="1">
      <c r="A19" s="5">
        <v>15</v>
      </c>
      <c r="B19" s="36" t="str">
        <f>HYPERLINK("https://www.nature.com/cmi/","Cellular &amp; Molecular Immunology")</f>
        <v>Cellular &amp; Molecular Immunology</v>
      </c>
      <c r="C19" s="9">
        <v>21.8</v>
      </c>
      <c r="D19" s="17" t="s">
        <v>180</v>
      </c>
      <c r="E19" s="34">
        <v>3</v>
      </c>
      <c r="F19" s="6"/>
    </row>
    <row r="20" spans="1:6" ht="15.95" customHeight="1">
      <c r="A20" s="5">
        <v>16</v>
      </c>
      <c r="B20" s="36" t="str">
        <f>HYPERLINK("https://annals.org/aim/pages/about-us","Annals of Internal Medicine")</f>
        <v>Annals of Internal Medicine</v>
      </c>
      <c r="C20" s="9">
        <v>19.600000000000001</v>
      </c>
      <c r="D20" s="17" t="s">
        <v>166</v>
      </c>
      <c r="E20" s="37" t="s">
        <v>1679</v>
      </c>
      <c r="F20" s="6"/>
    </row>
    <row r="21" spans="1:6" ht="15.95" customHeight="1">
      <c r="A21" s="5">
        <v>17</v>
      </c>
      <c r="B21" s="36" t="str">
        <f>HYPERLINK("https://www.science.org/journal/sciimmunol","Science Immunology")</f>
        <v>Science Immunology</v>
      </c>
      <c r="C21" s="9">
        <v>17.600000000000001</v>
      </c>
      <c r="D21" s="17" t="s">
        <v>179</v>
      </c>
      <c r="E21" s="34">
        <v>3</v>
      </c>
      <c r="F21" s="6"/>
    </row>
    <row r="22" spans="1:6" ht="15.95" customHeight="1">
      <c r="A22" s="5">
        <v>18</v>
      </c>
      <c r="B22" s="36" t="str">
        <f>HYPERLINK("https://journals.plos.org/plosmedicine/s/editorial-board","PLOS Medicine")</f>
        <v>PLOS Medicine</v>
      </c>
      <c r="C22" s="9">
        <v>15.8</v>
      </c>
      <c r="D22" s="17" t="s">
        <v>169</v>
      </c>
      <c r="E22" s="37" t="s">
        <v>1679</v>
      </c>
      <c r="F22" s="6"/>
    </row>
    <row r="23" spans="1:6" ht="15.95" customHeight="1">
      <c r="A23" s="5">
        <v>19</v>
      </c>
      <c r="B23" s="36" t="str">
        <f>HYPERLINK("https://www.embopress.org/page/journal/14602075/editors","EMBO Journal")</f>
        <v>EMBO Journal</v>
      </c>
      <c r="C23" s="9">
        <v>14</v>
      </c>
      <c r="D23" s="17" t="s">
        <v>170</v>
      </c>
      <c r="E23" s="37" t="s">
        <v>1679</v>
      </c>
      <c r="F23" s="6"/>
    </row>
    <row r="24" spans="1:6" ht="15.95" customHeight="1">
      <c r="A24" s="5">
        <v>20</v>
      </c>
      <c r="B24" s="36" t="str">
        <f>HYPERLINK("https://www.sciencedirect.com/journal/trends-in-genetics","Trends in Genetics")</f>
        <v>Trends in Genetics</v>
      </c>
      <c r="C24" s="9">
        <v>13.6</v>
      </c>
      <c r="D24" s="17" t="s">
        <v>1674</v>
      </c>
      <c r="E24" s="34" t="s">
        <v>2030</v>
      </c>
      <c r="F24" s="6"/>
    </row>
    <row r="25" spans="1:6" ht="15.95" customHeight="1">
      <c r="A25" s="5">
        <v>21</v>
      </c>
      <c r="B25" s="36" t="str">
        <f>HYPERLINK("https://www.cell.com/trends/immunology/home","Trends in Immunology")</f>
        <v>Trends in Immunology</v>
      </c>
      <c r="C25" s="9">
        <v>13.1</v>
      </c>
      <c r="D25" s="17" t="s">
        <v>181</v>
      </c>
      <c r="E25" s="34">
        <v>3</v>
      </c>
      <c r="F25" s="6"/>
    </row>
    <row r="26" spans="1:6" ht="15.95" customHeight="1">
      <c r="A26" s="5">
        <v>22</v>
      </c>
      <c r="B26" s="36" t="str">
        <f>HYPERLINK("https://genesdev.cshlp.org/","Genes and Development")</f>
        <v>Genes and Development</v>
      </c>
      <c r="C26" s="9">
        <v>12.89</v>
      </c>
      <c r="D26" s="17" t="s">
        <v>1615</v>
      </c>
      <c r="E26" s="34" t="s">
        <v>2030</v>
      </c>
      <c r="F26" s="6"/>
    </row>
    <row r="27" spans="1:6" ht="15.95" customHeight="1">
      <c r="A27" s="5">
        <v>23</v>
      </c>
      <c r="B27" s="36" t="str">
        <f>HYPERLINK("https://onlinelibrary.wiley.com/journal/13989995","Allergy: European Journal of Allergy and Clinical Immunology")</f>
        <v>Allergy: European Journal of Allergy and Clinical Immunology</v>
      </c>
      <c r="C27" s="9">
        <v>12.6</v>
      </c>
      <c r="D27" s="17" t="s">
        <v>257</v>
      </c>
      <c r="E27" s="34">
        <v>3</v>
      </c>
      <c r="F27" s="6"/>
    </row>
    <row r="28" spans="1:6" ht="15.95" customHeight="1">
      <c r="A28" s="5">
        <v>24</v>
      </c>
      <c r="B28" s="36" t="str">
        <f>HYPERLINK("https://www.sciencedirect.com/journal/journal-of-allergy-and-clinical-immunology","The Journal of Allergy and Clinical Immunology")</f>
        <v>The Journal of Allergy and Clinical Immunology</v>
      </c>
      <c r="C28" s="9">
        <v>11.4</v>
      </c>
      <c r="D28" s="17" t="s">
        <v>200</v>
      </c>
      <c r="E28" s="34">
        <v>3</v>
      </c>
      <c r="F28" s="6"/>
    </row>
    <row r="29" spans="1:6" ht="15.95" customHeight="1">
      <c r="A29" s="5">
        <v>25</v>
      </c>
      <c r="B29" s="36" t="str">
        <f>HYPERLINK("https://www.cell.com/cell-genomics/home","Cell Genomics")</f>
        <v>Cell Genomics</v>
      </c>
      <c r="C29" s="9">
        <v>11.1</v>
      </c>
      <c r="D29" s="17" t="s">
        <v>1588</v>
      </c>
      <c r="E29" s="34" t="s">
        <v>2030</v>
      </c>
      <c r="F29" s="6"/>
    </row>
    <row r="30" spans="1:6" ht="15.95" customHeight="1">
      <c r="A30" s="5">
        <v>26</v>
      </c>
      <c r="B30" s="36" t="str">
        <f>HYPERLINK("https://onlinelibrary.wiley.com/page/journal/1469185x/homepage/editorialboard.html","Biological Reviews")</f>
        <v>Biological Reviews</v>
      </c>
      <c r="C30" s="9">
        <v>11</v>
      </c>
      <c r="D30" s="17" t="s">
        <v>168</v>
      </c>
      <c r="E30" s="37" t="s">
        <v>1679</v>
      </c>
      <c r="F30" s="6"/>
    </row>
    <row r="31" spans="1:6" ht="15.95" customHeight="1">
      <c r="A31" s="5">
        <v>27</v>
      </c>
      <c r="B31" s="36" t="str">
        <f>HYPERLINK("https://genomemedicine.biomedcentral.com/","Genome Medicine")</f>
        <v>Genome Medicine</v>
      </c>
      <c r="C31" s="9">
        <v>10.4</v>
      </c>
      <c r="D31" s="17" t="s">
        <v>1633</v>
      </c>
      <c r="E31" s="34" t="s">
        <v>2030</v>
      </c>
      <c r="F31" s="6"/>
    </row>
    <row r="32" spans="1:6" ht="15.95" customHeight="1">
      <c r="A32" s="5">
        <v>28</v>
      </c>
      <c r="B32" s="36" t="str">
        <f>HYPERLINK("https://genomebiology.biomedcentral.com/","Genome Biology")</f>
        <v>Genome Biology</v>
      </c>
      <c r="C32" s="9">
        <v>10.1</v>
      </c>
      <c r="D32" s="17" t="s">
        <v>1632</v>
      </c>
      <c r="E32" s="34" t="s">
        <v>2030</v>
      </c>
      <c r="F32" s="6"/>
    </row>
    <row r="33" spans="1:6" ht="15.95" customHeight="1">
      <c r="A33" s="5">
        <v>29</v>
      </c>
      <c r="B33" s="36" t="str">
        <f>HYPERLINK("https://www.cell.com/ajhg/home","American Journal of Human Genetics")</f>
        <v>American Journal of Human Genetics</v>
      </c>
      <c r="C33" s="9">
        <v>9.8000000000000007</v>
      </c>
      <c r="D33" s="17" t="s">
        <v>1575</v>
      </c>
      <c r="E33" s="34" t="s">
        <v>2030</v>
      </c>
      <c r="F33" s="6"/>
    </row>
    <row r="34" spans="1:6" ht="15.95" customHeight="1">
      <c r="A34" s="5">
        <v>30</v>
      </c>
      <c r="B34" s="36" t="str">
        <f>HYPERLINK("https://www.annualreviews.org/content/journals/genet","Annual Review of Genetics")</f>
        <v>Annual Review of Genetics</v>
      </c>
      <c r="C34" s="9">
        <v>8.6999999999999993</v>
      </c>
      <c r="D34" s="17" t="s">
        <v>1579</v>
      </c>
      <c r="E34" s="34" t="s">
        <v>2030</v>
      </c>
      <c r="F34" s="6"/>
    </row>
    <row r="35" spans="1:6" ht="15.95" customHeight="1">
      <c r="A35" s="5">
        <v>31</v>
      </c>
      <c r="B35" s="36" t="str">
        <f>HYPERLINK("https://www.annualreviews.org/content/journals/genom","Annual Review of Genomics and Human Genetics")</f>
        <v>Annual Review of Genomics and Human Genetics</v>
      </c>
      <c r="C35" s="9">
        <v>8.6999999999999993</v>
      </c>
      <c r="D35" s="17" t="s">
        <v>1580</v>
      </c>
      <c r="E35" s="34" t="s">
        <v>2030</v>
      </c>
      <c r="F35" s="6"/>
    </row>
    <row r="36" spans="1:6" ht="15.95" customHeight="1">
      <c r="A36" s="5">
        <v>32</v>
      </c>
      <c r="B36" s="36" t="str">
        <f>HYPERLINK("https://link.springer.com/journal/12016","Clinical Reviews in Allergy &amp; Immunology")</f>
        <v>Clinical Reviews in Allergy &amp; Immunology</v>
      </c>
      <c r="C36" s="9">
        <v>8.4</v>
      </c>
      <c r="D36" s="17" t="s">
        <v>212</v>
      </c>
      <c r="E36" s="34">
        <v>3</v>
      </c>
      <c r="F36" s="6"/>
    </row>
    <row r="37" spans="1:6" ht="15.95" customHeight="1">
      <c r="A37" s="5">
        <v>33</v>
      </c>
      <c r="B37" s="36" t="str">
        <f>HYPERLINK("https://www.sciencedirect.com/journal/the-journal-of-allergy-and-clinical-immunology-in-practice","The Journal of Allergy and Clinical Immunology: In Practice")</f>
        <v>The Journal of Allergy and Clinical Immunology: In Practice</v>
      </c>
      <c r="C37" s="9">
        <v>8.1999999999999993</v>
      </c>
      <c r="D37" s="17" t="s">
        <v>211</v>
      </c>
      <c r="E37" s="34">
        <v>3</v>
      </c>
      <c r="F37" s="6"/>
    </row>
    <row r="38" spans="1:6" ht="15.95" customHeight="1">
      <c r="A38" s="5">
        <v>34</v>
      </c>
      <c r="B38" s="36" t="str">
        <f>HYPERLINK("https://www.sciencedirect.com/journal/mucosal-immunology","Mucosal Immunology")</f>
        <v>Mucosal Immunology</v>
      </c>
      <c r="C38" s="9">
        <v>7.9</v>
      </c>
      <c r="D38" s="17" t="s">
        <v>226</v>
      </c>
      <c r="E38" s="34">
        <v>3</v>
      </c>
      <c r="F38" s="6"/>
    </row>
    <row r="39" spans="1:6" ht="15.95" customHeight="1">
      <c r="A39" s="5">
        <v>35</v>
      </c>
      <c r="B39" s="36" t="str">
        <f>HYPERLINK("https://link.springer.com/journal/281","Seminars in Immunopathology")</f>
        <v>Seminars in Immunopathology</v>
      </c>
      <c r="C39" s="9">
        <v>7.9</v>
      </c>
      <c r="D39" s="17" t="s">
        <v>242</v>
      </c>
      <c r="E39" s="34">
        <v>3</v>
      </c>
      <c r="F39" s="6"/>
    </row>
    <row r="40" spans="1:6" ht="15.95" customHeight="1">
      <c r="A40" s="5">
        <v>36</v>
      </c>
      <c r="B40" s="36" t="str">
        <f>HYPERLINK("https://onlinelibrary.wiley.com/journal/1600065X","Immunological Reviews")</f>
        <v>Immunological Reviews</v>
      </c>
      <c r="C40" s="9">
        <v>7.5</v>
      </c>
      <c r="D40" s="17" t="s">
        <v>243</v>
      </c>
      <c r="E40" s="34">
        <v>3</v>
      </c>
      <c r="F40" s="6"/>
    </row>
    <row r="41" spans="1:6" ht="15.95" customHeight="1">
      <c r="A41" s="5">
        <v>37</v>
      </c>
      <c r="B41" s="36" t="str">
        <f>HYPERLINK("https://www.sciencedirect.com/journal/seminars-in-immunology","Seminars in Immunology")</f>
        <v>Seminars in Immunology</v>
      </c>
      <c r="C41" s="9">
        <v>7.4</v>
      </c>
      <c r="D41" s="17" t="s">
        <v>213</v>
      </c>
      <c r="E41" s="34">
        <v>3</v>
      </c>
      <c r="F41" s="6"/>
    </row>
    <row r="42" spans="1:6" ht="15.95" customHeight="1">
      <c r="A42" s="5">
        <v>38</v>
      </c>
      <c r="B42" s="36" t="str">
        <f>HYPERLINK("https://link.springer.com/journal/10875","Journal of Clinical Immunology")</f>
        <v>Journal of Clinical Immunology</v>
      </c>
      <c r="C42" s="9">
        <v>7.2</v>
      </c>
      <c r="D42" s="17" t="s">
        <v>227</v>
      </c>
      <c r="E42" s="34">
        <v>3</v>
      </c>
      <c r="F42" s="6"/>
    </row>
    <row r="43" spans="1:6" ht="15.95" customHeight="1">
      <c r="A43" s="5">
        <v>39</v>
      </c>
      <c r="B43" s="36" t="str">
        <f>HYPERLINK("https://www.sciencedirect.com/journal/genes-and-diseases","Genes &amp; Diseases")</f>
        <v>Genes &amp; Diseases</v>
      </c>
      <c r="C43" s="9">
        <v>6.9</v>
      </c>
      <c r="D43" s="17" t="s">
        <v>1614</v>
      </c>
      <c r="E43" s="34" t="s">
        <v>2030</v>
      </c>
      <c r="F43" s="6"/>
    </row>
    <row r="44" spans="1:6" ht="15.95" customHeight="1">
      <c r="A44" s="5">
        <v>40</v>
      </c>
      <c r="B44" s="36" t="str">
        <f>HYPERLINK("https://www.sciencedirect.com/journal/current-opinion-in-immunology","Current Opinion in Immunology")</f>
        <v>Current Opinion in Immunology</v>
      </c>
      <c r="C44" s="9">
        <v>6.6</v>
      </c>
      <c r="D44" s="17" t="s">
        <v>183</v>
      </c>
      <c r="E44" s="34">
        <v>3</v>
      </c>
      <c r="F44" s="6"/>
    </row>
    <row r="45" spans="1:6" ht="15.95" customHeight="1">
      <c r="A45" s="5">
        <v>41</v>
      </c>
      <c r="B45" s="36" t="str">
        <f>HYPERLINK("https://www.sciencedirect.com/journal/genetics-in-medicine","Genetics in Medicine")</f>
        <v>Genetics in Medicine</v>
      </c>
      <c r="C45" s="9">
        <v>6.6</v>
      </c>
      <c r="D45" s="17" t="s">
        <v>1629</v>
      </c>
      <c r="E45" s="34" t="s">
        <v>2030</v>
      </c>
      <c r="F45" s="6"/>
    </row>
    <row r="46" spans="1:6" ht="15.95" customHeight="1">
      <c r="A46" s="5">
        <v>42</v>
      </c>
      <c r="B46" s="36" t="str">
        <f>HYPERLINK("https://www.sciencedirect.com/journal/journal-of-genetics-and-genomics","Journal of Genetics and Genomics")</f>
        <v>Journal of Genetics and Genomics</v>
      </c>
      <c r="C46" s="9">
        <v>6.6</v>
      </c>
      <c r="D46" s="17" t="s">
        <v>1647</v>
      </c>
      <c r="E46" s="34" t="s">
        <v>2030</v>
      </c>
      <c r="F46" s="6"/>
    </row>
    <row r="47" spans="1:6" ht="15.95" customHeight="1">
      <c r="A47" s="5">
        <v>43</v>
      </c>
      <c r="B47" s="36" t="str">
        <f>HYPERLINK("https://genome.cshlp.org/","Genome Research")</f>
        <v>Genome Research</v>
      </c>
      <c r="C47" s="9">
        <v>6.2</v>
      </c>
      <c r="D47" s="17" t="s">
        <v>1634</v>
      </c>
      <c r="E47" s="34" t="s">
        <v>2030</v>
      </c>
      <c r="F47" s="6"/>
    </row>
    <row r="48" spans="1:6" ht="15.95" customHeight="1">
      <c r="A48" s="5">
        <v>44</v>
      </c>
      <c r="B48" s="36" t="str">
        <f>HYPERLINK("https://www.tandfonline.com/journals/ditt20","ImmunoTargets and Therapy")</f>
        <v>ImmunoTargets and Therapy</v>
      </c>
      <c r="C48" s="9">
        <v>6.2</v>
      </c>
      <c r="D48" s="17" t="s">
        <v>233</v>
      </c>
      <c r="E48" s="34">
        <v>3</v>
      </c>
      <c r="F48" s="6"/>
    </row>
    <row r="49" spans="1:6" ht="15.95" customHeight="1">
      <c r="A49" s="5">
        <v>45</v>
      </c>
      <c r="B49" s="36" t="str">
        <f>HYPERLINK("https://www.jiaci.org/","Journal of Investigational Allergology and Clinical Immunology")</f>
        <v>Journal of Investigational Allergology and Clinical Immunology</v>
      </c>
      <c r="C49" s="9">
        <v>6.1</v>
      </c>
      <c r="D49" s="17" t="s">
        <v>228</v>
      </c>
      <c r="E49" s="34">
        <v>3</v>
      </c>
      <c r="F49" s="6"/>
    </row>
    <row r="50" spans="1:6" ht="15.95" customHeight="1">
      <c r="A50" s="5">
        <v>46</v>
      </c>
      <c r="B50" s="36" t="str">
        <f>HYPERLINK("https://www.sciencedirect.com/journal/annals-of-allergy-asthma-and-immunology","Annals of Allergy, Asthma &amp; Immunology")</f>
        <v>Annals of Allergy, Asthma &amp; Immunology</v>
      </c>
      <c r="C50" s="9">
        <v>5.8</v>
      </c>
      <c r="D50" s="17" t="s">
        <v>192</v>
      </c>
      <c r="E50" s="34">
        <v>3</v>
      </c>
      <c r="F50" s="6"/>
    </row>
    <row r="51" spans="1:6" ht="15.95" customHeight="1">
      <c r="A51" s="5">
        <v>47</v>
      </c>
      <c r="B51" s="36" t="str">
        <f>HYPERLINK("https://www.frontiersin.org/journals/immunology","Frontiers in Immunology")</f>
        <v>Frontiers in Immunology</v>
      </c>
      <c r="C51" s="9">
        <v>5.7</v>
      </c>
      <c r="D51" s="17" t="s">
        <v>225</v>
      </c>
      <c r="E51" s="34">
        <v>3</v>
      </c>
      <c r="F51" s="6"/>
    </row>
    <row r="52" spans="1:6" ht="15.95" customHeight="1">
      <c r="A52" s="5">
        <v>48</v>
      </c>
      <c r="B52" s="36" t="str">
        <f>HYPERLINK("https://link.springer.com/journal/430","Medical Microbiology and Immunology")</f>
        <v>Medical Microbiology and Immunology</v>
      </c>
      <c r="C52" s="9">
        <v>5.5</v>
      </c>
      <c r="D52" s="17" t="s">
        <v>209</v>
      </c>
      <c r="E52" s="34">
        <v>3</v>
      </c>
      <c r="F52" s="6"/>
    </row>
    <row r="53" spans="1:6" ht="15.95" customHeight="1">
      <c r="A53" s="5">
        <v>49</v>
      </c>
      <c r="B53" s="36" t="str">
        <f>HYPERLINK("https://journals.aai.org/jimmunol","Journal of Immunology")</f>
        <v>Journal of Immunology</v>
      </c>
      <c r="C53" s="9">
        <v>5.4260000000000002</v>
      </c>
      <c r="D53" s="17" t="s">
        <v>199</v>
      </c>
      <c r="E53" s="34">
        <v>3</v>
      </c>
      <c r="F53" s="6"/>
    </row>
    <row r="54" spans="1:6" ht="15.95" customHeight="1">
      <c r="A54" s="5">
        <v>50</v>
      </c>
      <c r="B54" s="36" t="str">
        <f>HYPERLINK("https://journals.plos.org/plosgenetics/","PLoS Genetics")</f>
        <v>PLoS Genetics</v>
      </c>
      <c r="C54" s="9">
        <v>5.109</v>
      </c>
      <c r="D54" s="17" t="s">
        <v>1671</v>
      </c>
      <c r="E54" s="34" t="s">
        <v>2030</v>
      </c>
      <c r="F54" s="6"/>
    </row>
    <row r="55" spans="1:6" ht="15.95" customHeight="1">
      <c r="A55" s="5">
        <v>51</v>
      </c>
      <c r="B55" s="36" t="str">
        <f>HYPERLINK("https://www.nature.com/gene/","Genes and Immunity")</f>
        <v>Genes and Immunity</v>
      </c>
      <c r="C55" s="9">
        <v>5</v>
      </c>
      <c r="D55" s="17" t="s">
        <v>1619</v>
      </c>
      <c r="E55" s="34">
        <v>3</v>
      </c>
      <c r="F55" s="6"/>
    </row>
    <row r="56" spans="1:6" ht="15.95" customHeight="1">
      <c r="A56" s="5">
        <v>52</v>
      </c>
      <c r="B56" s="36" t="str">
        <f>HYPERLINK("https://onlinelibrary.wiley.com/journal/13652567","Immunology")</f>
        <v>Immunology</v>
      </c>
      <c r="C56" s="9">
        <v>4.9000000000000004</v>
      </c>
      <c r="D56" s="17" t="s">
        <v>184</v>
      </c>
      <c r="E56" s="34">
        <v>3</v>
      </c>
      <c r="F56" s="6"/>
    </row>
    <row r="57" spans="1:6" ht="15.95" customHeight="1">
      <c r="A57" s="5">
        <v>53</v>
      </c>
      <c r="B57" s="36" t="str">
        <f>HYPERLINK("https://clinicalepigeneticsjournal.biomedcentral.com/","Clinical Epigenetics")</f>
        <v>Clinical Epigenetics</v>
      </c>
      <c r="C57" s="9">
        <v>4.8</v>
      </c>
      <c r="D57" s="17" t="s">
        <v>1590</v>
      </c>
      <c r="E57" s="34" t="s">
        <v>2030</v>
      </c>
      <c r="F57" s="6"/>
    </row>
    <row r="58" spans="1:6" ht="15.95" customHeight="1">
      <c r="A58" s="5">
        <v>54</v>
      </c>
      <c r="B58" s="36" t="str">
        <f>HYPERLINK("https://academic.oup.com/intimm","International Immunology")</f>
        <v>International Immunology</v>
      </c>
      <c r="C58" s="9">
        <v>4.8</v>
      </c>
      <c r="D58" s="17" t="s">
        <v>204</v>
      </c>
      <c r="E58" s="34">
        <v>3</v>
      </c>
      <c r="F58" s="6"/>
    </row>
    <row r="59" spans="1:6" ht="15.95" customHeight="1">
      <c r="A59" s="5">
        <v>55</v>
      </c>
      <c r="B59" s="36" t="str">
        <f>HYPERLINK("https://www.nature.com/npjgenmed/","npj Genomic Medicine")</f>
        <v>npj Genomic Medicine</v>
      </c>
      <c r="C59" s="9">
        <v>4.7</v>
      </c>
      <c r="D59" s="17" t="s">
        <v>1664</v>
      </c>
      <c r="E59" s="34" t="s">
        <v>2030</v>
      </c>
      <c r="F59" s="6"/>
    </row>
    <row r="60" spans="1:6" ht="15.95" customHeight="1">
      <c r="A60" s="5">
        <v>56</v>
      </c>
      <c r="B60" s="36" t="str">
        <f>HYPERLINK("https://onlinelibrary.wiley.com/journal/20500068","Clinical &amp; Translational Immunology")</f>
        <v>Clinical &amp; Translational Immunology</v>
      </c>
      <c r="C60" s="9">
        <v>4.5999999999999996</v>
      </c>
      <c r="D60" s="17" t="s">
        <v>189</v>
      </c>
      <c r="E60" s="34">
        <v>3</v>
      </c>
      <c r="F60" s="6"/>
    </row>
    <row r="61" spans="1:6" ht="15.95" customHeight="1">
      <c r="A61" s="5">
        <v>57</v>
      </c>
      <c r="B61" s="36" t="str">
        <f>HYPERLINK("https://www.nature.com/gt/","Gene Therapy")</f>
        <v>Gene Therapy</v>
      </c>
      <c r="C61" s="9">
        <v>4.5999999999999996</v>
      </c>
      <c r="D61" s="17" t="s">
        <v>1612</v>
      </c>
      <c r="E61" s="34" t="s">
        <v>2030</v>
      </c>
      <c r="F61" s="6"/>
    </row>
    <row r="62" spans="1:6" ht="15.95" customHeight="1">
      <c r="A62" s="5">
        <v>58</v>
      </c>
      <c r="B62" s="36" t="str">
        <f>HYPERLINK("https://www.sciencedirect.com/journal/clinical-immunology","Clinical Immunology")</f>
        <v>Clinical Immunology</v>
      </c>
      <c r="C62" s="9">
        <v>4.5</v>
      </c>
      <c r="D62" s="17" t="s">
        <v>222</v>
      </c>
      <c r="E62" s="34">
        <v>3</v>
      </c>
      <c r="F62" s="6"/>
    </row>
    <row r="63" spans="1:6" ht="15.95" customHeight="1">
      <c r="A63" s="5">
        <v>59</v>
      </c>
      <c r="B63" s="36" t="str">
        <f>HYPERLINK("https://onlinelibrary.wiley.com/journal/15214141","European Journal of Immunology")</f>
        <v>European Journal of Immunology</v>
      </c>
      <c r="C63" s="9">
        <v>4.5</v>
      </c>
      <c r="D63" s="17" t="s">
        <v>186</v>
      </c>
      <c r="E63" s="34">
        <v>3</v>
      </c>
      <c r="F63" s="6"/>
    </row>
    <row r="64" spans="1:6" ht="15.95" customHeight="1">
      <c r="A64" s="5">
        <v>60</v>
      </c>
      <c r="B64" s="36" t="str">
        <f>HYPERLINK("https://www.sciencedirect.com/journal/journal-of-microbiology-immunology-and-infection","Journal of Microbiology, Immunology and Infection")</f>
        <v>Journal of Microbiology, Immunology and Infection</v>
      </c>
      <c r="C64" s="9">
        <v>4.5</v>
      </c>
      <c r="D64" s="17" t="s">
        <v>221</v>
      </c>
      <c r="E64" s="34">
        <v>3</v>
      </c>
      <c r="F64" s="6"/>
    </row>
    <row r="65" spans="1:6" ht="15.95" customHeight="1">
      <c r="A65" s="5">
        <v>61</v>
      </c>
      <c r="B65" s="36" t="str">
        <f>HYPERLINK("https://academic.oup.com/genetics","Genetics")</f>
        <v>Genetics</v>
      </c>
      <c r="C65" s="9">
        <v>4.4020000000000001</v>
      </c>
      <c r="D65" s="17" t="s">
        <v>1626</v>
      </c>
      <c r="E65" s="34" t="s">
        <v>2030</v>
      </c>
      <c r="F65" s="6"/>
    </row>
    <row r="66" spans="1:6" ht="15.95" customHeight="1">
      <c r="A66" s="5">
        <v>62</v>
      </c>
      <c r="B66" s="36" t="str">
        <f>HYPERLINK("https://link.springer.com/journal/122","Theoretical and Applied Genetics")</f>
        <v>Theoretical and Applied Genetics</v>
      </c>
      <c r="C66" s="9">
        <v>4.4000000000000004</v>
      </c>
      <c r="D66" s="17" t="s">
        <v>1673</v>
      </c>
      <c r="E66" s="34" t="s">
        <v>2030</v>
      </c>
      <c r="F66" s="6"/>
    </row>
    <row r="67" spans="1:6" ht="15.95" customHeight="1">
      <c r="A67" s="5">
        <v>63</v>
      </c>
      <c r="B67" s="36" t="str">
        <f>HYPERLINK("https://immunenetwork.org/index.php?body=about","Immune Network")</f>
        <v>Immune Network</v>
      </c>
      <c r="C67" s="9">
        <v>4.3</v>
      </c>
      <c r="D67" s="17" t="s">
        <v>251</v>
      </c>
      <c r="E67" s="34">
        <v>3</v>
      </c>
      <c r="F67" s="6"/>
    </row>
    <row r="68" spans="1:6" ht="15.95" customHeight="1">
      <c r="A68" s="5">
        <v>64</v>
      </c>
      <c r="B68" s="36" t="str">
        <f>HYPERLINK("https://www.tandfonline.com/journals/iiri20","International Reviews of Immunology")</f>
        <v>International Reviews of Immunology</v>
      </c>
      <c r="C68" s="9">
        <v>4.3</v>
      </c>
      <c r="D68" s="17" t="s">
        <v>203</v>
      </c>
      <c r="E68" s="34">
        <v>3</v>
      </c>
      <c r="F68" s="6"/>
    </row>
    <row r="69" spans="1:6" ht="15.95" customHeight="1">
      <c r="A69" s="5">
        <v>65</v>
      </c>
      <c r="B69" s="36" t="str">
        <f>HYPERLINK("https://onlinelibrary.wiley.com/journal/13993038","Pediatric Allergy and Immunology")</f>
        <v>Pediatric Allergy and Immunology</v>
      </c>
      <c r="C69" s="9">
        <v>4.3</v>
      </c>
      <c r="D69" s="17" t="s">
        <v>198</v>
      </c>
      <c r="E69" s="34">
        <v>3</v>
      </c>
      <c r="F69" s="6"/>
    </row>
    <row r="70" spans="1:6" ht="15.95" customHeight="1">
      <c r="A70" s="5">
        <v>66</v>
      </c>
      <c r="B70" s="36" t="str">
        <f>HYPERLINK("https://epigeneticsandchromatin.biomedcentral.com/","Epigenetics and Chromatin")</f>
        <v>Epigenetics and Chromatin</v>
      </c>
      <c r="C70" s="9">
        <v>4.2</v>
      </c>
      <c r="D70" s="17" t="s">
        <v>1601</v>
      </c>
      <c r="E70" s="34" t="s">
        <v>2030</v>
      </c>
      <c r="F70" s="6"/>
    </row>
    <row r="71" spans="1:6" ht="15.95" customHeight="1">
      <c r="A71" s="5">
        <v>67</v>
      </c>
      <c r="B71" s="36" t="str">
        <f>HYPERLINK("https://e-aair.org/index.php?body=board","Allergy Asthma &amp; Immunology Research")</f>
        <v>Allergy Asthma &amp; Immunology Research</v>
      </c>
      <c r="C71" s="9">
        <v>4.0999999999999996</v>
      </c>
      <c r="D71" s="17" t="s">
        <v>202</v>
      </c>
      <c r="E71" s="34">
        <v>3</v>
      </c>
      <c r="F71" s="6"/>
    </row>
    <row r="72" spans="1:6" ht="15.95" customHeight="1">
      <c r="A72" s="5">
        <v>68</v>
      </c>
      <c r="B72" s="36" t="str">
        <f>HYPERLINK("https://academic.oup.com/immunotherapyadv","Immunotherapy Advances")</f>
        <v>Immunotherapy Advances</v>
      </c>
      <c r="C72" s="9">
        <v>4.0999999999999996</v>
      </c>
      <c r="D72" s="17" t="s">
        <v>267</v>
      </c>
      <c r="E72" s="34">
        <v>3</v>
      </c>
      <c r="F72" s="6"/>
    </row>
    <row r="73" spans="1:6" ht="15.95" customHeight="1">
      <c r="A73" s="5">
        <v>69</v>
      </c>
      <c r="B73" s="36" t="str">
        <f>HYPERLINK("https://academic.oup.com/nargab","NAR Genomics and Bioinformatics")</f>
        <v>NAR Genomics and Bioinformatics</v>
      </c>
      <c r="C73" s="9">
        <v>4</v>
      </c>
      <c r="D73" s="17" t="s">
        <v>1660</v>
      </c>
      <c r="E73" s="34" t="s">
        <v>2030</v>
      </c>
      <c r="F73" s="6"/>
    </row>
    <row r="74" spans="1:6" ht="15.95" customHeight="1">
      <c r="A74" s="5">
        <v>70</v>
      </c>
      <c r="B74" s="36" t="str">
        <f>HYPERLINK("https://www.tandfonline.com/journals/ierm20","Expert Review of Clinical Immunology")</f>
        <v>Expert Review of Clinical Immunology</v>
      </c>
      <c r="C74" s="9">
        <v>3.9</v>
      </c>
      <c r="D74" s="17" t="s">
        <v>201</v>
      </c>
      <c r="E74" s="34">
        <v>3</v>
      </c>
      <c r="F74" s="6"/>
    </row>
    <row r="75" spans="1:6" ht="15.95" customHeight="1">
      <c r="A75" s="5">
        <v>71</v>
      </c>
      <c r="B75" s="36" t="str">
        <f>HYPERLINK("https://link.springer.com/journal/10142","Functional &amp; Integrative Genomics")</f>
        <v>Functional &amp; Integrative Genomics</v>
      </c>
      <c r="C75" s="9">
        <v>3.9</v>
      </c>
      <c r="D75" s="17" t="s">
        <v>1607</v>
      </c>
      <c r="E75" s="34" t="s">
        <v>2030</v>
      </c>
      <c r="F75" s="6"/>
    </row>
    <row r="76" spans="1:6" ht="15.95" customHeight="1">
      <c r="A76" s="5">
        <v>72</v>
      </c>
      <c r="B76" s="36" t="str">
        <f>HYPERLINK("https://home.liebertpub.com/publications/human-gene-therapy/19","Human Gene Therapy")</f>
        <v>Human Gene Therapy</v>
      </c>
      <c r="C76" s="9">
        <v>3.9</v>
      </c>
      <c r="D76" s="17" t="s">
        <v>1637</v>
      </c>
      <c r="E76" s="34" t="s">
        <v>2030</v>
      </c>
      <c r="F76" s="6"/>
    </row>
    <row r="77" spans="1:6" ht="15.95" customHeight="1">
      <c r="A77" s="5">
        <v>73</v>
      </c>
      <c r="B77" s="36" t="str">
        <f>HYPERLINK("https://journals.lww.com/immunotherapy-journal/pages/default.aspx","Journal of Immunotherapy")</f>
        <v>Journal of Immunotherapy</v>
      </c>
      <c r="C77" s="9">
        <v>3.9</v>
      </c>
      <c r="D77" s="17" t="s">
        <v>237</v>
      </c>
      <c r="E77" s="34">
        <v>3</v>
      </c>
      <c r="F77" s="6"/>
    </row>
    <row r="78" spans="1:6" ht="15.95" customHeight="1">
      <c r="A78" s="5">
        <v>74</v>
      </c>
      <c r="B78" s="36" t="str">
        <f>HYPERLINK("https://benthamscience.com/public/journals/current-gene-therapy","Current Gene Therapy")</f>
        <v>Current Gene Therapy</v>
      </c>
      <c r="C78" s="9">
        <v>3.8</v>
      </c>
      <c r="D78" s="17" t="s">
        <v>1593</v>
      </c>
      <c r="E78" s="34" t="s">
        <v>2030</v>
      </c>
      <c r="F78" s="6"/>
    </row>
    <row r="79" spans="1:6" ht="15.95" customHeight="1">
      <c r="A79" s="5">
        <v>75</v>
      </c>
      <c r="B79" s="36" t="str">
        <f>HYPERLINK("https://link.springer.com/journal/439","Human Genetics")</f>
        <v>Human Genetics</v>
      </c>
      <c r="C79" s="9">
        <v>3.8</v>
      </c>
      <c r="D79" s="17" t="s">
        <v>1638</v>
      </c>
      <c r="E79" s="34" t="s">
        <v>2030</v>
      </c>
      <c r="F79" s="6"/>
    </row>
    <row r="80" spans="1:6" ht="15.95" customHeight="1">
      <c r="A80" s="5">
        <v>76</v>
      </c>
      <c r="B80" s="36" t="str">
        <f>HYPERLINK("https://humgenomics.biomedcentral.com/","Human Genomics")</f>
        <v>Human Genomics</v>
      </c>
      <c r="C80" s="9">
        <v>3.8</v>
      </c>
      <c r="D80" s="17" t="s">
        <v>1640</v>
      </c>
      <c r="E80" s="34" t="s">
        <v>2030</v>
      </c>
      <c r="F80" s="6"/>
    </row>
    <row r="81" spans="1:6" ht="15.95" customHeight="1">
      <c r="A81" s="5">
        <v>77</v>
      </c>
      <c r="B81" s="36" t="str">
        <f>HYPERLINK("https://www.sciencedirect.com/journal/cellular-immunology","Cellular Immunology")</f>
        <v>Cellular Immunology</v>
      </c>
      <c r="C81" s="9">
        <v>3.7</v>
      </c>
      <c r="D81" s="17" t="s">
        <v>207</v>
      </c>
      <c r="E81" s="34">
        <v>3</v>
      </c>
      <c r="F81" s="6"/>
    </row>
    <row r="82" spans="1:6" ht="15.95" customHeight="1">
      <c r="A82" s="5">
        <v>78</v>
      </c>
      <c r="B82" s="36" t="str">
        <f>HYPERLINK("https://www.sciencedirect.com/journal/current-opinion-in-genetics-and-development","Current Opinion in Genetics and Development")</f>
        <v>Current Opinion in Genetics and Development</v>
      </c>
      <c r="C82" s="9">
        <v>3.7</v>
      </c>
      <c r="D82" s="17" t="s">
        <v>1595</v>
      </c>
      <c r="E82" s="34" t="s">
        <v>2030</v>
      </c>
      <c r="F82" s="6"/>
    </row>
    <row r="83" spans="1:6" ht="15.95" customHeight="1">
      <c r="A83" s="5">
        <v>79</v>
      </c>
      <c r="B83" s="36" t="str">
        <f>HYPERLINK("https://www.nature.com/ejhg/","European Journal of Human Genetics")</f>
        <v>European Journal of Human Genetics</v>
      </c>
      <c r="C83" s="9">
        <v>3.7</v>
      </c>
      <c r="D83" s="17" t="s">
        <v>1604</v>
      </c>
      <c r="E83" s="34" t="s">
        <v>2030</v>
      </c>
      <c r="F83" s="6"/>
    </row>
    <row r="84" spans="1:6" ht="15.95" customHeight="1">
      <c r="A84" s="5">
        <v>80</v>
      </c>
      <c r="B84" s="36" t="str">
        <f>HYPERLINK("https://www.sciencedirect.com/journal/molecular-genetics-and-metabolism","Molecular Genetics and Metabolism")</f>
        <v>Molecular Genetics and Metabolism</v>
      </c>
      <c r="C84" s="9">
        <v>3.7</v>
      </c>
      <c r="D84" s="17" t="s">
        <v>1656</v>
      </c>
      <c r="E84" s="34" t="s">
        <v>2030</v>
      </c>
      <c r="F84" s="6"/>
    </row>
    <row r="85" spans="1:6" ht="15.95" customHeight="1">
      <c r="A85" s="5">
        <v>81</v>
      </c>
      <c r="B85" s="36" t="str">
        <f>HYPERLINK("https://bmcgenomics.biomedcentral.com/","BMC Genomics")</f>
        <v>BMC Genomics</v>
      </c>
      <c r="C85" s="9">
        <v>3.5</v>
      </c>
      <c r="D85" s="17" t="s">
        <v>1585</v>
      </c>
      <c r="E85" s="34" t="s">
        <v>2030</v>
      </c>
      <c r="F85" s="6"/>
    </row>
    <row r="86" spans="1:6" ht="15.95" customHeight="1">
      <c r="A86" s="5">
        <v>82</v>
      </c>
      <c r="B86" s="36" t="str">
        <f>HYPERLINK("https://onlinelibrary.wiley.com/journal/1607","Journal of Immunology Research")</f>
        <v>Journal of Immunology Research</v>
      </c>
      <c r="C86" s="9">
        <v>3.5</v>
      </c>
      <c r="D86" s="17" t="s">
        <v>205</v>
      </c>
      <c r="E86" s="34">
        <v>3</v>
      </c>
      <c r="F86" s="6"/>
    </row>
    <row r="87" spans="1:6" ht="15.95" customHeight="1">
      <c r="A87" s="5">
        <v>83</v>
      </c>
      <c r="B87" s="36" t="str">
        <f>HYPERLINK("https://jmg.bmj.com/","Journal of Medical Genetics")</f>
        <v>Journal of Medical Genetics</v>
      </c>
      <c r="C87" s="9">
        <v>3.5</v>
      </c>
      <c r="D87" s="17" t="s">
        <v>1649</v>
      </c>
      <c r="E87" s="34" t="s">
        <v>2030</v>
      </c>
      <c r="F87" s="6"/>
    </row>
    <row r="88" spans="1:6" ht="15.95" customHeight="1">
      <c r="A88" s="5">
        <v>84</v>
      </c>
      <c r="B88" s="36" t="str">
        <f>HYPERLINK("https://academic.oup.com/cei","Clinical and Experimental Immunology")</f>
        <v>Clinical and Experimental Immunology</v>
      </c>
      <c r="C88" s="9">
        <v>3.4</v>
      </c>
      <c r="D88" s="17" t="s">
        <v>195</v>
      </c>
      <c r="E88" s="34">
        <v>3</v>
      </c>
      <c r="F88" s="6"/>
    </row>
    <row r="89" spans="1:6" ht="15.95" customHeight="1">
      <c r="A89" s="5">
        <v>85</v>
      </c>
      <c r="B89" s="36" t="str">
        <f>HYPERLINK("https://www.sciencedirect.com/journal/genomics","Genomics")</f>
        <v>Genomics</v>
      </c>
      <c r="C89" s="9">
        <v>3.4</v>
      </c>
      <c r="D89" s="17" t="s">
        <v>1635</v>
      </c>
      <c r="E89" s="34" t="s">
        <v>2030</v>
      </c>
      <c r="F89" s="6"/>
    </row>
    <row r="90" spans="1:6" ht="15.95" customHeight="1">
      <c r="A90" s="5">
        <v>86</v>
      </c>
      <c r="B90" s="36" t="str">
        <f>HYPERLINK("https://ojrd.biomedcentral.com/","Orphanet Journal of Rare Diseases")</f>
        <v>Orphanet Journal of Rare Diseases</v>
      </c>
      <c r="C90" s="9">
        <v>3.4</v>
      </c>
      <c r="D90" s="17" t="s">
        <v>232</v>
      </c>
      <c r="E90" s="34" t="s">
        <v>2031</v>
      </c>
      <c r="F90" s="6"/>
    </row>
    <row r="91" spans="1:6" ht="15.95" customHeight="1">
      <c r="A91" s="5">
        <v>87</v>
      </c>
      <c r="B91" s="36" t="str">
        <f>HYPERLINK("https://akjournals.com/view/journals/1886/1886-overview.xml","European Journal of Microbiology and Immunology")</f>
        <v>European Journal of Microbiology and Immunology</v>
      </c>
      <c r="C91" s="9">
        <v>3.3</v>
      </c>
      <c r="D91" s="17" t="s">
        <v>190</v>
      </c>
      <c r="E91" s="34">
        <v>3</v>
      </c>
      <c r="F91" s="6"/>
    </row>
    <row r="92" spans="1:6" ht="15.95" customHeight="1">
      <c r="A92" s="5">
        <v>88</v>
      </c>
      <c r="B92" s="36" t="str">
        <f>HYPERLINK("https://genesandnutrition.biomedcentral.com/","Genes and Nutrition")</f>
        <v>Genes and Nutrition</v>
      </c>
      <c r="C92" s="9">
        <v>3.3</v>
      </c>
      <c r="D92" s="17" t="s">
        <v>1573</v>
      </c>
      <c r="E92" s="34" t="s">
        <v>2030</v>
      </c>
      <c r="F92" s="6"/>
    </row>
    <row r="93" spans="1:6" ht="15.95" customHeight="1">
      <c r="A93" s="5">
        <v>89</v>
      </c>
      <c r="B93" s="36" t="str">
        <f>HYPERLINK("https://link.springer.com/journal/12026","Immunologic Research")</f>
        <v>Immunologic Research</v>
      </c>
      <c r="C93" s="9">
        <v>3.3</v>
      </c>
      <c r="D93" s="17" t="s">
        <v>238</v>
      </c>
      <c r="E93" s="34">
        <v>3</v>
      </c>
      <c r="F93" s="6"/>
    </row>
    <row r="94" spans="1:6" ht="15.95" customHeight="1">
      <c r="A94" s="5">
        <v>90</v>
      </c>
      <c r="B94" s="36" t="str">
        <f>HYPERLINK("https://www.sciencedirect.com/journal/immunology-letters","Immunology Letters")</f>
        <v>Immunology Letters</v>
      </c>
      <c r="C94" s="9">
        <v>3.3</v>
      </c>
      <c r="D94" s="17" t="s">
        <v>206</v>
      </c>
      <c r="E94" s="34">
        <v>3</v>
      </c>
      <c r="F94" s="6"/>
    </row>
    <row r="95" spans="1:6" ht="15.95" customHeight="1">
      <c r="A95" s="5">
        <v>91</v>
      </c>
      <c r="B95" s="36" t="str">
        <f>HYPERLINK("https://link.springer.com/journal/5","Archives of Immunology and Experimental Therapy")</f>
        <v>Archives of Immunology and Experimental Therapy</v>
      </c>
      <c r="C95" s="9">
        <v>3.2</v>
      </c>
      <c r="D95" s="17" t="s">
        <v>240</v>
      </c>
      <c r="E95" s="34">
        <v>3</v>
      </c>
      <c r="F95" s="6"/>
    </row>
    <row r="96" spans="1:6" ht="15.95" customHeight="1">
      <c r="A96" s="5">
        <v>92</v>
      </c>
      <c r="B96" s="36" t="str">
        <f>HYPERLINK("https://www.maxapress.com/epi","Epigenetics Insights")</f>
        <v>Epigenetics Insights</v>
      </c>
      <c r="C96" s="9">
        <v>3.2</v>
      </c>
      <c r="D96" s="17" t="s">
        <v>1602</v>
      </c>
      <c r="E96" s="34" t="s">
        <v>2030</v>
      </c>
      <c r="F96" s="6"/>
    </row>
    <row r="97" spans="1:6" ht="15.95" customHeight="1">
      <c r="A97" s="5">
        <v>93</v>
      </c>
      <c r="B97" s="36" t="str">
        <f>HYPERLINK("https://onlinelibrary.wiley.com/journal/14401711","Immunology &amp; Cell Biology")</f>
        <v>Immunology &amp; Cell Biology</v>
      </c>
      <c r="C97" s="9">
        <v>3.2</v>
      </c>
      <c r="D97" s="17" t="s">
        <v>194</v>
      </c>
      <c r="E97" s="34">
        <v>3</v>
      </c>
      <c r="F97" s="6"/>
    </row>
    <row r="98" spans="1:6" ht="15.95" customHeight="1">
      <c r="A98" s="5">
        <v>94</v>
      </c>
      <c r="B98" s="36" t="str">
        <f>HYPERLINK("https://onlinelibrary.wiley.com/journal/15212254","Journal of Gene Medicine")</f>
        <v>Journal of Gene Medicine</v>
      </c>
      <c r="C98" s="9">
        <v>3.2</v>
      </c>
      <c r="D98" s="17" t="s">
        <v>1645</v>
      </c>
      <c r="E98" s="34" t="s">
        <v>2030</v>
      </c>
      <c r="F98" s="6"/>
    </row>
    <row r="99" spans="1:6" ht="15.95" customHeight="1">
      <c r="A99" s="5">
        <v>95</v>
      </c>
      <c r="B99" s="36" t="str">
        <f>HYPERLINK("https://www.sciencedirect.com/journal/molecular-immunology","Molecular Immunology")</f>
        <v>Molecular Immunology</v>
      </c>
      <c r="C99" s="9">
        <v>3.2</v>
      </c>
      <c r="D99" s="17" t="s">
        <v>208</v>
      </c>
      <c r="E99" s="34">
        <v>3</v>
      </c>
      <c r="F99" s="6"/>
    </row>
    <row r="100" spans="1:6" ht="15.95" customHeight="1">
      <c r="A100" s="5">
        <v>96</v>
      </c>
      <c r="B100" s="36" t="str">
        <f>HYPERLINK("https://www.sciencedirect.com/journal/human-immunology","Human Immunology")</f>
        <v>Human Immunology</v>
      </c>
      <c r="C100" s="9">
        <v>3.1</v>
      </c>
      <c r="D100" s="17" t="s">
        <v>223</v>
      </c>
      <c r="E100" s="34">
        <v>3</v>
      </c>
      <c r="F100" s="6"/>
    </row>
    <row r="101" spans="1:6" ht="15.95" customHeight="1">
      <c r="A101" s="5">
        <v>97</v>
      </c>
      <c r="B101" s="36" t="str">
        <f>HYPERLINK("https://academic.oup.com/hmg","Human Molecular Genetics")</f>
        <v>Human Molecular Genetics</v>
      </c>
      <c r="C101" s="9">
        <v>3.1</v>
      </c>
      <c r="D101" s="17" t="s">
        <v>1641</v>
      </c>
      <c r="E101" s="34" t="s">
        <v>2030</v>
      </c>
      <c r="F101" s="6"/>
    </row>
    <row r="102" spans="1:6" ht="15.95" customHeight="1">
      <c r="A102" s="5">
        <v>98</v>
      </c>
      <c r="B102" s="36" t="str">
        <f>HYPERLINK("https://journals.lww.com/co-allergy/pages/default.aspx","Current Opinion in Allergy and Clinical Immunology")</f>
        <v>Current Opinion in Allergy and Clinical Immunology</v>
      </c>
      <c r="C102" s="9">
        <v>3</v>
      </c>
      <c r="D102" s="17" t="s">
        <v>217</v>
      </c>
      <c r="E102" s="34">
        <v>3</v>
      </c>
      <c r="F102" s="6"/>
    </row>
    <row r="103" spans="1:6" ht="15.95" customHeight="1">
      <c r="A103" s="5">
        <v>99</v>
      </c>
      <c r="B103" s="36" t="str">
        <f>HYPERLINK("https://www.tandfonline.com/journals/iepi20","Epigenomics")</f>
        <v>Epigenomics</v>
      </c>
      <c r="C103" s="9">
        <v>3</v>
      </c>
      <c r="D103" s="17" t="s">
        <v>1603</v>
      </c>
      <c r="E103" s="34" t="s">
        <v>2030</v>
      </c>
      <c r="F103" s="6"/>
    </row>
    <row r="104" spans="1:6" ht="15.95" customHeight="1">
      <c r="A104" s="5">
        <v>100</v>
      </c>
      <c r="B104" s="36" t="str">
        <f>HYPERLINK("https://journals.sagepub.com/editorial-board/IJI","International Journal of Immunopathology and Pharmacology")</f>
        <v>International Journal of Immunopathology and Pharmacology</v>
      </c>
      <c r="C104" s="9">
        <v>3</v>
      </c>
      <c r="D104" s="17" t="s">
        <v>245</v>
      </c>
      <c r="E104" s="34">
        <v>3</v>
      </c>
      <c r="F104" s="6"/>
    </row>
    <row r="105" spans="1:6" ht="15.95" customHeight="1">
      <c r="A105" s="5">
        <v>101</v>
      </c>
      <c r="B105" s="36" t="str">
        <f>HYPERLINK("https://bmcimmunol.biomedcentral.com/","BMC Immunology")</f>
        <v>BMC Immunology</v>
      </c>
      <c r="C105" s="9">
        <v>2.9</v>
      </c>
      <c r="D105" s="17" t="s">
        <v>215</v>
      </c>
      <c r="E105" s="34">
        <v>3</v>
      </c>
      <c r="F105" s="6"/>
    </row>
    <row r="106" spans="1:6" ht="15.95" customHeight="1">
      <c r="A106" s="5">
        <v>102</v>
      </c>
      <c r="B106" s="36" t="str">
        <f>HYPERLINK("https://onlinelibrary.wiley.com/journal/13990004","Clinical Genetics")</f>
        <v>Clinical Genetics</v>
      </c>
      <c r="C106" s="9">
        <v>2.9</v>
      </c>
      <c r="D106" s="17" t="s">
        <v>1591</v>
      </c>
      <c r="E106" s="34" t="s">
        <v>2030</v>
      </c>
      <c r="F106" s="6"/>
    </row>
    <row r="107" spans="1:6" ht="15.95" customHeight="1">
      <c r="A107" s="5">
        <v>103</v>
      </c>
      <c r="B107" s="36" t="str">
        <f>HYPERLINK("https://www.tandfonline.com/journals/kepi20","Epigenetics")</f>
        <v>Epigenetics</v>
      </c>
      <c r="C107" s="9">
        <v>2.9</v>
      </c>
      <c r="D107" s="17" t="s">
        <v>1600</v>
      </c>
      <c r="E107" s="34" t="s">
        <v>2030</v>
      </c>
      <c r="F107" s="6"/>
    </row>
    <row r="108" spans="1:6" ht="15.95" customHeight="1">
      <c r="A108" s="5">
        <v>104</v>
      </c>
      <c r="B108" s="36" t="str">
        <f>HYPERLINK("https://link.springer.com/journal/251","Immunogenetics")</f>
        <v>Immunogenetics</v>
      </c>
      <c r="C108" s="9">
        <v>2.9</v>
      </c>
      <c r="D108" s="17" t="s">
        <v>244</v>
      </c>
      <c r="E108" s="34">
        <v>3</v>
      </c>
      <c r="F108" s="6"/>
    </row>
    <row r="109" spans="1:6" ht="15.95" customHeight="1">
      <c r="A109" s="5">
        <v>105</v>
      </c>
      <c r="B109" s="36" t="str">
        <f>HYPERLINK("https://tandfonline.com/journals/iimm20","Immunological Investigations")</f>
        <v>Immunological Investigations</v>
      </c>
      <c r="C109" s="9">
        <v>2.9</v>
      </c>
      <c r="D109" s="17" t="s">
        <v>247</v>
      </c>
      <c r="E109" s="34">
        <v>3</v>
      </c>
      <c r="F109" s="6"/>
    </row>
    <row r="110" spans="1:6" ht="15.95" customHeight="1">
      <c r="A110" s="5">
        <v>106</v>
      </c>
      <c r="B110" s="36" t="str">
        <f>HYPERLINK("https://www.tandfonline.com/journals/iipi20","Immunopharmacology and Immunotoxicology")</f>
        <v>Immunopharmacology and Immunotoxicology</v>
      </c>
      <c r="C110" s="9">
        <v>2.9</v>
      </c>
      <c r="D110" s="17" t="s">
        <v>241</v>
      </c>
      <c r="E110" s="34">
        <v>3</v>
      </c>
      <c r="F110" s="6"/>
    </row>
    <row r="111" spans="1:6" ht="15.95" customHeight="1">
      <c r="A111" s="5">
        <v>107</v>
      </c>
      <c r="B111" s="36" t="str">
        <f>HYPERLINK("https://www.nature.com/tpj/","The Pharmacogenomics Journal")</f>
        <v>The Pharmacogenomics Journal</v>
      </c>
      <c r="C111" s="9">
        <v>2.9</v>
      </c>
      <c r="D111" s="17" t="s">
        <v>1669</v>
      </c>
      <c r="E111" s="34" t="s">
        <v>2030</v>
      </c>
      <c r="F111" s="6"/>
    </row>
    <row r="112" spans="1:6" ht="15.95" customHeight="1">
      <c r="A112" s="5">
        <v>108</v>
      </c>
      <c r="B112" s="36" t="str">
        <f>HYPERLINK("https://onlinelibrary.wiley.com/journal/15524876","American Journal of Medical Genetics, Part C: Seminars in Medical Genetics")</f>
        <v>American Journal of Medical Genetics, Part C: Seminars in Medical Genetics</v>
      </c>
      <c r="C112" s="9">
        <v>2.8</v>
      </c>
      <c r="D112" s="17" t="s">
        <v>1577</v>
      </c>
      <c r="E112" s="34" t="s">
        <v>2030</v>
      </c>
      <c r="F112" s="6"/>
    </row>
    <row r="113" spans="1:6" ht="15.95" customHeight="1">
      <c r="A113" s="5">
        <v>109</v>
      </c>
      <c r="B113" s="36" t="str">
        <f>HYPERLINK("https://www.frontiersin.org/journals/genetics","Frontiers in Genetics")</f>
        <v>Frontiers in Genetics</v>
      </c>
      <c r="C113" s="9">
        <v>2.8</v>
      </c>
      <c r="D113" s="17" t="s">
        <v>1606</v>
      </c>
      <c r="E113" s="34" t="s">
        <v>2030</v>
      </c>
      <c r="F113" s="6"/>
    </row>
    <row r="114" spans="1:6" ht="15.95" customHeight="1">
      <c r="A114" s="5">
        <v>110</v>
      </c>
      <c r="B114" s="36" t="str">
        <f>HYPERLINK("https://www.mdpi.com/journal/genes","Genes")</f>
        <v>Genes</v>
      </c>
      <c r="C114" s="9">
        <v>2.8</v>
      </c>
      <c r="D114" s="17" t="s">
        <v>1613</v>
      </c>
      <c r="E114" s="34" t="s">
        <v>2030</v>
      </c>
      <c r="F114" s="6"/>
    </row>
    <row r="115" spans="1:6" ht="15.95" customHeight="1">
      <c r="A115" s="5">
        <v>111</v>
      </c>
      <c r="B115" s="36" t="str">
        <f>HYPERLINK("https://academic.oup.com/g3journal","G3: Genes, Genomes, Genetics")</f>
        <v>G3: Genes, Genomes, Genetics</v>
      </c>
      <c r="C115" s="9">
        <v>2.7810000000000001</v>
      </c>
      <c r="D115" s="17" t="s">
        <v>1608</v>
      </c>
      <c r="E115" s="34" t="s">
        <v>2030</v>
      </c>
      <c r="F115" s="6"/>
    </row>
    <row r="116" spans="1:6" ht="15.95" customHeight="1">
      <c r="A116" s="5">
        <v>112</v>
      </c>
      <c r="B116" s="36" t="str">
        <f>HYPERLINK("https://www.begellhouse.com/journals/critical-reviews-in-eukaryotic-gene-expression.html","Critical Reviews™ in Eukaryotic Gene Expression")</f>
        <v>Critical Reviews™ in Eukaryotic Gene Expression</v>
      </c>
      <c r="C116" s="9">
        <v>2.7</v>
      </c>
      <c r="D116" s="17" t="s">
        <v>1592</v>
      </c>
      <c r="E116" s="34" t="s">
        <v>2030</v>
      </c>
      <c r="F116" s="6"/>
    </row>
    <row r="117" spans="1:6" ht="15.95" customHeight="1">
      <c r="A117" s="5">
        <v>113</v>
      </c>
      <c r="B117" s="36" t="str">
        <f>HYPERLINK("https://www.sciencedirect.com/journal/developmental-and-comparative-immunology","Developmental &amp; Comparative Immunology")</f>
        <v>Developmental &amp; Comparative Immunology</v>
      </c>
      <c r="C117" s="9">
        <v>2.7</v>
      </c>
      <c r="D117" s="17" t="s">
        <v>214</v>
      </c>
      <c r="E117" s="34">
        <v>3</v>
      </c>
      <c r="F117" s="6"/>
    </row>
    <row r="118" spans="1:6" ht="15.95" customHeight="1">
      <c r="A118" s="5">
        <v>114</v>
      </c>
      <c r="B118" s="36" t="str">
        <f>HYPERLINK("https://genesenvironment.biomedcentral.com/","Genes and Environment")</f>
        <v>Genes and Environment</v>
      </c>
      <c r="C118" s="9">
        <v>2.7</v>
      </c>
      <c r="D118" s="17" t="s">
        <v>1616</v>
      </c>
      <c r="E118" s="34" t="s">
        <v>2030</v>
      </c>
      <c r="F118" s="6"/>
    </row>
    <row r="119" spans="1:6" ht="15.95" customHeight="1">
      <c r="A119" s="5">
        <v>115</v>
      </c>
      <c r="B119" s="36" t="str">
        <f>HYPERLINK("https://www.tandfonline.com/journals/timm20","Immunological Medicine")</f>
        <v>Immunological Medicine</v>
      </c>
      <c r="C119" s="9">
        <v>2.7</v>
      </c>
      <c r="D119" s="17" t="s">
        <v>235</v>
      </c>
      <c r="E119" s="34">
        <v>3</v>
      </c>
      <c r="F119" s="6"/>
    </row>
    <row r="120" spans="1:6" ht="15.95" customHeight="1">
      <c r="A120" s="5">
        <v>116</v>
      </c>
      <c r="B120" s="36" t="str">
        <f>HYPERLINK("https://www.sciencedirect.com/journal/immunology-and-allergy-clinics-of-north-america","Immunology and Allergy Clinics of North America")</f>
        <v>Immunology and Allergy Clinics of North America</v>
      </c>
      <c r="C120" s="9">
        <v>2.7</v>
      </c>
      <c r="D120" s="17" t="s">
        <v>218</v>
      </c>
      <c r="E120" s="34">
        <v>3</v>
      </c>
      <c r="F120" s="6"/>
    </row>
    <row r="121" spans="1:6" ht="15.95" customHeight="1">
      <c r="A121" s="5">
        <v>117</v>
      </c>
      <c r="B121" s="36" t="str">
        <f>HYPERLINK("https://www.tandfonline.com/journals/iimy20","Immunotherapy")</f>
        <v>Immunotherapy</v>
      </c>
      <c r="C121" s="9">
        <v>2.7</v>
      </c>
      <c r="D121" s="17" t="s">
        <v>239</v>
      </c>
      <c r="E121" s="34">
        <v>3</v>
      </c>
      <c r="F121" s="6"/>
    </row>
    <row r="122" spans="1:6" ht="15.95" customHeight="1">
      <c r="A122" s="5">
        <v>118</v>
      </c>
      <c r="B122" s="36" t="str">
        <f>HYPERLINK("https://link.springer.com/journal/335","Mammalian Genome")</f>
        <v>Mammalian Genome</v>
      </c>
      <c r="C122" s="9">
        <v>2.7</v>
      </c>
      <c r="D122" s="17" t="s">
        <v>1651</v>
      </c>
      <c r="E122" s="34" t="s">
        <v>2030</v>
      </c>
      <c r="F122" s="6"/>
    </row>
    <row r="123" spans="1:6" ht="15.95" customHeight="1">
      <c r="A123" s="5">
        <v>119</v>
      </c>
      <c r="B123" s="36" t="str">
        <f>HYPERLINK("https://aacijournal.biomedcentral.com/","Allergy, Asthma &amp; Clinical Immunology")</f>
        <v>Allergy, Asthma &amp; Clinical Immunology</v>
      </c>
      <c r="C123" s="9">
        <v>2.6</v>
      </c>
      <c r="D123" s="17" t="s">
        <v>216</v>
      </c>
      <c r="E123" s="34">
        <v>3</v>
      </c>
      <c r="F123" s="6"/>
    </row>
    <row r="124" spans="1:6" ht="15.95" customHeight="1">
      <c r="A124" s="5">
        <v>120</v>
      </c>
      <c r="B124" s="36" t="str">
        <f>HYPERLINK("https://link.springer.com/journal/10519","Behavior Genetics")</f>
        <v>Behavior Genetics</v>
      </c>
      <c r="C124" s="9">
        <v>2.6</v>
      </c>
      <c r="D124" s="17" t="s">
        <v>1582</v>
      </c>
      <c r="E124" s="34" t="s">
        <v>2030</v>
      </c>
      <c r="F124" s="6"/>
    </row>
    <row r="125" spans="1:6" ht="15.95" customHeight="1">
      <c r="A125" s="5">
        <v>121</v>
      </c>
      <c r="B125" s="36" t="str">
        <f>HYPERLINK("https://www.eurannallergyimm.com/","European Annals of Allergy and Clinical Immunology")</f>
        <v>European Annals of Allergy and Clinical Immunology</v>
      </c>
      <c r="C125" s="9">
        <v>2.6</v>
      </c>
      <c r="D125" s="17" t="s">
        <v>188</v>
      </c>
      <c r="E125" s="34">
        <v>3</v>
      </c>
      <c r="F125" s="6"/>
    </row>
    <row r="126" spans="1:6" ht="15.95" customHeight="1">
      <c r="A126" s="5">
        <v>122</v>
      </c>
      <c r="B126" s="36" t="str">
        <f>HYPERLINK("https://www.sciencedirect.com/journal/gene","Gene")</f>
        <v>Gene</v>
      </c>
      <c r="C126" s="9">
        <v>2.6</v>
      </c>
      <c r="D126" s="17" t="s">
        <v>1678</v>
      </c>
      <c r="E126" s="34" t="s">
        <v>2030</v>
      </c>
      <c r="F126" s="6"/>
    </row>
    <row r="127" spans="1:6" ht="15.95" customHeight="1">
      <c r="A127" s="5">
        <v>123</v>
      </c>
      <c r="B127" s="36" t="str">
        <f>HYPERLINK("https://www.sciencedirect.com/journal/infection-genetics-and-evolution","Infection, Genetics and Evolution")</f>
        <v>Infection, Genetics and Evolution</v>
      </c>
      <c r="C127" s="9">
        <v>2.6</v>
      </c>
      <c r="D127" s="17" t="s">
        <v>1574</v>
      </c>
      <c r="E127" s="34" t="s">
        <v>2030</v>
      </c>
      <c r="F127" s="6"/>
    </row>
    <row r="128" spans="1:6" ht="15.95" customHeight="1">
      <c r="A128" s="5">
        <v>124</v>
      </c>
      <c r="B128" s="36" t="str">
        <f>HYPERLINK("https://onlinelibrary.wiley.com/journal/4140","International Journal of Genomics")</f>
        <v>International Journal of Genomics</v>
      </c>
      <c r="C128" s="9">
        <v>2.6</v>
      </c>
      <c r="D128" s="17" t="s">
        <v>1642</v>
      </c>
      <c r="E128" s="34" t="s">
        <v>2030</v>
      </c>
      <c r="F128" s="6"/>
    </row>
    <row r="129" spans="1:6" ht="15.95" customHeight="1">
      <c r="A129" s="5">
        <v>125</v>
      </c>
      <c r="B129" s="36" t="str">
        <f>HYPERLINK("https://www.nature.com/jhg/","Journal of Human Genetics")</f>
        <v>Journal of Human Genetics</v>
      </c>
      <c r="C129" s="9">
        <v>2.6</v>
      </c>
      <c r="D129" s="17" t="s">
        <v>1648</v>
      </c>
      <c r="E129" s="34" t="s">
        <v>2030</v>
      </c>
      <c r="F129" s="6"/>
    </row>
    <row r="130" spans="1:6" ht="15.95" customHeight="1">
      <c r="A130" s="5">
        <v>126</v>
      </c>
      <c r="B130" s="36" t="str">
        <f>HYPERLINK("https://academic.oup.com/bfg","Briefings in Functional Genomics")</f>
        <v>Briefings in Functional Genomics</v>
      </c>
      <c r="C130" s="9">
        <v>2.5</v>
      </c>
      <c r="D130" s="17" t="s">
        <v>1587</v>
      </c>
      <c r="E130" s="34" t="s">
        <v>2030</v>
      </c>
      <c r="F130" s="6"/>
    </row>
    <row r="131" spans="1:6" ht="15.95" customHeight="1">
      <c r="A131" s="5">
        <v>127</v>
      </c>
      <c r="B131" s="36" t="str">
        <f>HYPERLINK("https://www.sciencedirect.com/journal/immunobiology","Immunobiology")</f>
        <v>Immunobiology</v>
      </c>
      <c r="C131" s="9">
        <v>2.5</v>
      </c>
      <c r="D131" s="17" t="s">
        <v>246</v>
      </c>
      <c r="E131" s="34">
        <v>3</v>
      </c>
      <c r="F131" s="6"/>
    </row>
    <row r="132" spans="1:6" ht="15.95" customHeight="1">
      <c r="A132" s="5">
        <v>128</v>
      </c>
      <c r="B132" s="36" t="str">
        <f>HYPERLINK("https://karger.com/IAA/pages/editorial-board","International Archives of Allergy and Immunology")</f>
        <v>International Archives of Allergy and Immunology</v>
      </c>
      <c r="C132" s="9">
        <v>2.5</v>
      </c>
      <c r="D132" s="17" t="s">
        <v>210</v>
      </c>
      <c r="E132" s="34">
        <v>3</v>
      </c>
      <c r="F132" s="6"/>
    </row>
    <row r="133" spans="1:6" ht="15.95" customHeight="1">
      <c r="A133" s="5">
        <v>129</v>
      </c>
      <c r="B133" s="36" t="str">
        <f>HYPERLINK("https://journals.physiology.org/physiolgenomics/about","Physiological Genomics")</f>
        <v>Physiological Genomics</v>
      </c>
      <c r="C133" s="9">
        <v>2.5</v>
      </c>
      <c r="D133" s="17" t="s">
        <v>1670</v>
      </c>
      <c r="E133" s="34" t="s">
        <v>2030</v>
      </c>
      <c r="F133" s="6"/>
    </row>
    <row r="134" spans="1:6" ht="15.95" customHeight="1">
      <c r="A134" s="5">
        <v>130</v>
      </c>
      <c r="B134" s="36" t="str">
        <f>HYPERLINK("https://onlinelibrary.wiley.com/journal/1601183x","Genes, Brain and Behavior")</f>
        <v>Genes, Brain and Behavior</v>
      </c>
      <c r="C134" s="9">
        <v>2.4</v>
      </c>
      <c r="D134" s="17" t="s">
        <v>1621</v>
      </c>
      <c r="E134" s="34" t="s">
        <v>2030</v>
      </c>
      <c r="F134" s="6"/>
    </row>
    <row r="135" spans="1:6" ht="15.95" customHeight="1">
      <c r="A135" s="5">
        <v>131</v>
      </c>
      <c r="B135" s="36" t="str">
        <f>HYPERLINK("https://onlinelibrary.wiley.com/journal/1526968X","Genesis")</f>
        <v>Genesis</v>
      </c>
      <c r="C135" s="9">
        <v>2.4</v>
      </c>
      <c r="D135" s="17" t="s">
        <v>1622</v>
      </c>
      <c r="E135" s="34" t="s">
        <v>2030</v>
      </c>
      <c r="F135" s="6"/>
    </row>
    <row r="136" spans="1:6" ht="15.95" customHeight="1">
      <c r="A136" s="5">
        <v>132</v>
      </c>
      <c r="B136" s="36" t="str">
        <f>HYPERLINK("https://cdnsciencepub.com/journal/gen","Genome")</f>
        <v>Genome</v>
      </c>
      <c r="C136" s="9">
        <v>2.2999999999999998</v>
      </c>
      <c r="D136" s="17" t="s">
        <v>1631</v>
      </c>
      <c r="E136" s="34" t="s">
        <v>2030</v>
      </c>
      <c r="F136" s="6"/>
    </row>
    <row r="137" spans="1:6" ht="15.95" customHeight="1">
      <c r="A137" s="5">
        <v>133</v>
      </c>
      <c r="B137" s="36" t="str">
        <f>HYPERLINK("https://onlinelibrary.wiley.com/journal/1744313X","International Journal of Immunogenetics")</f>
        <v>International Journal of Immunogenetics</v>
      </c>
      <c r="C137" s="9">
        <v>2.2999999999999998</v>
      </c>
      <c r="D137" s="17" t="s">
        <v>248</v>
      </c>
      <c r="E137" s="34">
        <v>3</v>
      </c>
      <c r="F137" s="6"/>
    </row>
    <row r="138" spans="1:6" ht="15.95" customHeight="1">
      <c r="A138" s="5">
        <v>134</v>
      </c>
      <c r="B138" s="36" t="str">
        <f>HYPERLINK("https://link.springer.com/journal/438","Molecular Genetics and Genomics")</f>
        <v>Molecular Genetics and Genomics</v>
      </c>
      <c r="C138" s="9">
        <v>2.2999999999999998</v>
      </c>
      <c r="D138" s="17" t="s">
        <v>1655</v>
      </c>
      <c r="E138" s="34" t="s">
        <v>2030</v>
      </c>
      <c r="F138" s="6"/>
    </row>
    <row r="139" spans="1:6" ht="15.95" customHeight="1">
      <c r="A139" s="5">
        <v>135</v>
      </c>
      <c r="B139" s="36" t="str">
        <f>HYPERLINK("https://www.sciencedirect.com/journal/mutation-research-genetic-toxicology-and-environmental-mutagenesis","Mutation Research-Genetic Toxicology and Environmental Mutagenesis")</f>
        <v>Mutation Research-Genetic Toxicology and Environmental Mutagenesis</v>
      </c>
      <c r="C139" s="9">
        <v>2.2999999999999998</v>
      </c>
      <c r="D139" s="17" t="s">
        <v>1659</v>
      </c>
      <c r="E139" s="34" t="s">
        <v>2030</v>
      </c>
      <c r="F139" s="6"/>
    </row>
    <row r="140" spans="1:6" ht="15.95" customHeight="1">
      <c r="A140" s="5">
        <v>136</v>
      </c>
      <c r="B140" s="36" t="str">
        <f>HYPERLINK("https://link.springer.com/journal/10528","Biochemical Genetics")</f>
        <v>Biochemical Genetics</v>
      </c>
      <c r="C140" s="9">
        <v>2.1</v>
      </c>
      <c r="D140" s="17" t="s">
        <v>1583</v>
      </c>
      <c r="E140" s="34" t="s">
        <v>2030</v>
      </c>
      <c r="F140" s="6"/>
    </row>
    <row r="141" spans="1:6" ht="15.95" customHeight="1">
      <c r="A141" s="5">
        <v>137</v>
      </c>
      <c r="B141" s="36" t="str">
        <f>HYPERLINK("https://bmcmedgenomics.biomedcentral.com/","BMC Medical Genomics")</f>
        <v>BMC Medical Genomics</v>
      </c>
      <c r="C141" s="9">
        <v>2.1</v>
      </c>
      <c r="D141" s="17" t="s">
        <v>1586</v>
      </c>
      <c r="E141" s="34" t="s">
        <v>2030</v>
      </c>
      <c r="F141" s="6"/>
    </row>
    <row r="142" spans="1:6" ht="15.95" customHeight="1">
      <c r="A142" s="5">
        <v>138</v>
      </c>
      <c r="B142" s="36" t="str">
        <f>HYPERLINK("https://sciencedirect.com/journal/comparative-immunology-microbiology-and-infectious-diseases","Comparative Immunology, Microbiology and Infectious Diseases")</f>
        <v>Comparative Immunology, Microbiology and Infectious Diseases</v>
      </c>
      <c r="C142" s="9">
        <v>2</v>
      </c>
      <c r="D142" s="17" t="s">
        <v>220</v>
      </c>
      <c r="E142" s="34">
        <v>3</v>
      </c>
      <c r="F142" s="6"/>
    </row>
    <row r="143" spans="1:6" ht="15.95" customHeight="1">
      <c r="A143" s="5">
        <v>139</v>
      </c>
      <c r="B143" s="36" t="str">
        <f>HYPERLINK("https://link.springer.com/journal/13353","Journal of Applied Genetics")</f>
        <v>Journal of Applied Genetics</v>
      </c>
      <c r="C143" s="9">
        <v>2</v>
      </c>
      <c r="D143" s="17" t="s">
        <v>1644</v>
      </c>
      <c r="E143" s="34" t="s">
        <v>2030</v>
      </c>
      <c r="F143" s="6"/>
    </row>
    <row r="144" spans="1:6" ht="15.95" customHeight="1">
      <c r="A144" s="5">
        <v>140</v>
      </c>
      <c r="B144" s="36" t="str">
        <f>HYPERLINK("https://onlinelibrary.wiley.com/journal/14691809","Annals of Human Genetics")</f>
        <v>Annals of Human Genetics</v>
      </c>
      <c r="C144" s="9">
        <v>1.9</v>
      </c>
      <c r="D144" s="17" t="s">
        <v>1578</v>
      </c>
      <c r="E144" s="34" t="s">
        <v>2030</v>
      </c>
      <c r="F144" s="6"/>
    </row>
    <row r="145" spans="1:6" ht="15.95" customHeight="1">
      <c r="A145" s="5">
        <v>141</v>
      </c>
      <c r="B145" s="36" t="str">
        <f>HYPERLINK("https://bmcgenomdata.biomedcentral.com/","BMC Genomic Data")</f>
        <v>BMC Genomic Data</v>
      </c>
      <c r="C145" s="9">
        <v>1.9</v>
      </c>
      <c r="D145" s="17" t="s">
        <v>1584</v>
      </c>
      <c r="E145" s="34" t="s">
        <v>2030</v>
      </c>
      <c r="F145" s="6"/>
    </row>
    <row r="146" spans="1:6" ht="15.95" customHeight="1">
      <c r="A146" s="5">
        <v>142</v>
      </c>
      <c r="B146" s="36" t="str">
        <f>HYPERLINK("https://onlinelibrary.wiley.com/journal/13480421","Microbiology and Immunology")</f>
        <v>Microbiology and Immunology</v>
      </c>
      <c r="C146" s="9">
        <v>1.9</v>
      </c>
      <c r="D146" s="17" t="s">
        <v>219</v>
      </c>
      <c r="E146" s="34">
        <v>3</v>
      </c>
      <c r="F146" s="6"/>
    </row>
    <row r="147" spans="1:6" ht="15.95" customHeight="1">
      <c r="A147" s="5">
        <v>143</v>
      </c>
      <c r="B147" s="36" t="str">
        <f>HYPERLINK("https://www.tandfonline.com/journals/ipgs20","Pharmacogenomics")</f>
        <v>Pharmacogenomics</v>
      </c>
      <c r="C147" s="9">
        <v>1.9</v>
      </c>
      <c r="D147" s="17" t="s">
        <v>1667</v>
      </c>
      <c r="E147" s="34" t="s">
        <v>2030</v>
      </c>
      <c r="F147" s="6"/>
    </row>
    <row r="148" spans="1:6" ht="15.95" customHeight="1">
      <c r="A148" s="5">
        <v>144</v>
      </c>
      <c r="B148" s="36" t="str">
        <f>HYPERLINK("https://link.springer.com/journal/294","Current Genetics")</f>
        <v>Current Genetics</v>
      </c>
      <c r="C148" s="9">
        <v>1.8</v>
      </c>
      <c r="D148" s="17" t="s">
        <v>1594</v>
      </c>
      <c r="E148" s="34" t="s">
        <v>2030</v>
      </c>
      <c r="F148" s="6"/>
    </row>
    <row r="149" spans="1:6" ht="15.95" customHeight="1">
      <c r="A149" s="5">
        <v>145</v>
      </c>
      <c r="B149" s="36" t="str">
        <f>HYPERLINK("https://www.sciencedirect.com/journal/ecological-genetics-and-genomics","Ecological Genetics and Genomics")</f>
        <v>Ecological Genetics and Genomics</v>
      </c>
      <c r="C149" s="9">
        <v>1.8</v>
      </c>
      <c r="D149" s="17" t="s">
        <v>1599</v>
      </c>
      <c r="E149" s="34" t="s">
        <v>2030</v>
      </c>
      <c r="F149" s="6"/>
    </row>
    <row r="150" spans="1:6" ht="15.95" customHeight="1">
      <c r="A150" s="5">
        <v>146</v>
      </c>
      <c r="B150" s="36" t="str">
        <f>HYPERLINK("https://www.sciencedirect.com/journal/molecular-genetics-and-metabolism-reports","Molecular Genetics and Metabolism Reports")</f>
        <v>Molecular Genetics and Metabolism Reports</v>
      </c>
      <c r="C150" s="9">
        <v>1.8</v>
      </c>
      <c r="D150" s="17" t="s">
        <v>1657</v>
      </c>
      <c r="E150" s="34" t="s">
        <v>2030</v>
      </c>
      <c r="F150" s="6"/>
    </row>
    <row r="151" spans="1:6" ht="15.95" customHeight="1">
      <c r="A151" s="5">
        <v>147</v>
      </c>
      <c r="B151" s="36" t="str">
        <f>HYPERLINK("https://www.tandfonline.com/journals/dpgp20/about-this-journal#aims-and-scope","Pharmacogenomics and Personalized Medicine")</f>
        <v>Pharmacogenomics and Personalized Medicine</v>
      </c>
      <c r="C151" s="9">
        <v>1.8</v>
      </c>
      <c r="D151" s="17" t="s">
        <v>1668</v>
      </c>
      <c r="E151" s="34" t="s">
        <v>2030</v>
      </c>
      <c r="F151" s="6"/>
    </row>
    <row r="152" spans="1:6" ht="15.95" customHeight="1">
      <c r="A152" s="5">
        <v>148</v>
      </c>
      <c r="B152" s="36" t="str">
        <f>HYPERLINK("https://apjai-journal.org/","Asian Pacific Journal of Allergy and Immunology")</f>
        <v>Asian Pacific Journal of Allergy and Immunology</v>
      </c>
      <c r="C152" s="9">
        <v>1.7470000000000001</v>
      </c>
      <c r="D152" s="17" t="s">
        <v>185</v>
      </c>
      <c r="E152" s="34">
        <v>3</v>
      </c>
      <c r="F152" s="6"/>
    </row>
    <row r="153" spans="1:6" ht="15.95" customHeight="1">
      <c r="A153" s="5">
        <v>149</v>
      </c>
      <c r="B153" s="36" t="str">
        <f>HYPERLINK("https://onlinelibrary.wiley.com/journal/15524833","American Journal of Medical Genetics, Part A")</f>
        <v>American Journal of Medical Genetics, Part A</v>
      </c>
      <c r="C153" s="9">
        <v>1.7</v>
      </c>
      <c r="D153" s="17" t="s">
        <v>1576</v>
      </c>
      <c r="E153" s="34" t="s">
        <v>2030</v>
      </c>
      <c r="F153" s="6"/>
    </row>
    <row r="154" spans="1:6" ht="15.95" customHeight="1">
      <c r="A154" s="5">
        <v>150</v>
      </c>
      <c r="B154" s="36" t="str">
        <f>HYPERLINK("https://karger.com/cgr","Cytogenetic and Genome Research")</f>
        <v>Cytogenetic and Genome Research</v>
      </c>
      <c r="C154" s="9">
        <v>1.7</v>
      </c>
      <c r="D154" s="17" t="s">
        <v>1597</v>
      </c>
      <c r="E154" s="34" t="s">
        <v>2030</v>
      </c>
      <c r="F154" s="6"/>
    </row>
    <row r="155" spans="1:6" ht="15.95" customHeight="1">
      <c r="A155" s="5">
        <v>151</v>
      </c>
      <c r="B155" s="36" t="str">
        <f>HYPERLINK("https://onlinelibrary.wiley.com/journal/10982272","Genetic Epidemiology")</f>
        <v>Genetic Epidemiology</v>
      </c>
      <c r="C155" s="9">
        <v>1.7</v>
      </c>
      <c r="D155" s="17" t="s">
        <v>1623</v>
      </c>
      <c r="E155" s="34" t="s">
        <v>2030</v>
      </c>
      <c r="F155" s="6"/>
    </row>
    <row r="156" spans="1:6" ht="15.95" customHeight="1">
      <c r="A156" s="5">
        <v>152</v>
      </c>
      <c r="B156" s="36" t="str">
        <f>HYPERLINK("https://www.gmb.org.br/","Genetics and Molecular Biology")</f>
        <v>Genetics and Molecular Biology</v>
      </c>
      <c r="C156" s="9">
        <v>1.7</v>
      </c>
      <c r="D156" s="17" t="s">
        <v>1627</v>
      </c>
      <c r="E156" s="34" t="s">
        <v>2030</v>
      </c>
      <c r="F156" s="6"/>
    </row>
    <row r="157" spans="1:6" ht="15.95" customHeight="1">
      <c r="A157" s="5">
        <v>153</v>
      </c>
      <c r="B157" s="36" t="str">
        <f>HYPERLINK("https://journals.lww.com/jpharmacogenetics/pages/default.aspx","Pharmacogenetics and Genomics")</f>
        <v>Pharmacogenetics and Genomics</v>
      </c>
      <c r="C157" s="9">
        <v>1.7</v>
      </c>
      <c r="D157" s="17" t="s">
        <v>1666</v>
      </c>
      <c r="E157" s="34" t="s">
        <v>2030</v>
      </c>
      <c r="F157" s="6"/>
    </row>
    <row r="158" spans="1:6" ht="15.95" customHeight="1">
      <c r="A158" s="5">
        <v>154</v>
      </c>
      <c r="B158" s="36" t="str">
        <f>HYPERLINK("https://journals.lww.com/apallergy/pages/default.aspx","Asia Pacific Allergy")</f>
        <v>Asia Pacific Allergy</v>
      </c>
      <c r="C158" s="9">
        <v>1.6</v>
      </c>
      <c r="D158" s="17" t="s">
        <v>258</v>
      </c>
      <c r="E158" s="34">
        <v>3</v>
      </c>
      <c r="F158" s="6"/>
    </row>
    <row r="159" spans="1:6" ht="15.95" customHeight="1">
      <c r="A159" s="5">
        <v>155</v>
      </c>
      <c r="B159" s="36" t="str">
        <f>HYPERLINK("https://www.sciencedirect.com/journal/european-journal-of-medical-genetics","European Journal of Medical Genetics")</f>
        <v>European Journal of Medical Genetics</v>
      </c>
      <c r="C159" s="9">
        <v>1.6</v>
      </c>
      <c r="D159" s="17" t="s">
        <v>1605</v>
      </c>
      <c r="E159" s="34" t="s">
        <v>2030</v>
      </c>
      <c r="F159" s="6"/>
    </row>
    <row r="160" spans="1:6" ht="15.95" customHeight="1">
      <c r="A160" s="5">
        <v>156</v>
      </c>
      <c r="B160" s="36" t="str">
        <f>HYPERLINK("https://link.springer.com/journal/13258","Genes and Genomics")</f>
        <v>Genes and Genomics</v>
      </c>
      <c r="C160" s="9">
        <v>1.6</v>
      </c>
      <c r="D160" s="17" t="s">
        <v>1618</v>
      </c>
      <c r="E160" s="34" t="s">
        <v>2030</v>
      </c>
      <c r="F160" s="6"/>
    </row>
    <row r="161" spans="1:6" ht="15.95" customHeight="1">
      <c r="A161" s="5">
        <v>157</v>
      </c>
      <c r="B161" s="36" t="str">
        <f>HYPERLINK("https://www.sciencedirect.com/journal/journal-of-immunological-methods","Journal of Immunological Methods")</f>
        <v>Journal of Immunological Methods</v>
      </c>
      <c r="C161" s="9">
        <v>1.6</v>
      </c>
      <c r="D161" s="17" t="s">
        <v>249</v>
      </c>
      <c r="E161" s="34">
        <v>3</v>
      </c>
      <c r="F161" s="6"/>
    </row>
    <row r="162" spans="1:6" ht="15.95" customHeight="1">
      <c r="A162" s="5">
        <v>158</v>
      </c>
      <c r="B162" s="36" t="str">
        <f>HYPERLINK("https://www.sciencedirect.com/journal/transplant-immunology","Transplant Immunology")</f>
        <v>Transplant Immunology</v>
      </c>
      <c r="C162" s="9">
        <v>1.6</v>
      </c>
      <c r="D162" s="17" t="s">
        <v>224</v>
      </c>
      <c r="E162" s="34">
        <v>3</v>
      </c>
      <c r="F162" s="6"/>
    </row>
    <row r="163" spans="1:6" ht="15.95" customHeight="1">
      <c r="A163" s="5">
        <v>159</v>
      </c>
      <c r="B163" s="36" t="str">
        <f>HYPERLINK("https://www.termedia.pl/Journal/Central_European_Journal_of_nbsp_Immunology-10","Central European Journal of Immunology")</f>
        <v>Central European Journal of Immunology</v>
      </c>
      <c r="C163" s="9">
        <v>1.5</v>
      </c>
      <c r="D163" s="17" t="s">
        <v>230</v>
      </c>
      <c r="E163" s="34">
        <v>3</v>
      </c>
      <c r="F163" s="6"/>
    </row>
    <row r="164" spans="1:6" ht="15.95" customHeight="1">
      <c r="A164" s="5">
        <v>160</v>
      </c>
      <c r="B164" s="36" t="str">
        <f>HYPERLINK("https://gsj3.org/ggs/","Genes and Genetic Systems")</f>
        <v>Genes and Genetic Systems</v>
      </c>
      <c r="C164" s="9">
        <v>1.5</v>
      </c>
      <c r="D164" s="17" t="s">
        <v>1617</v>
      </c>
      <c r="E164" s="34" t="s">
        <v>2030</v>
      </c>
      <c r="F164" s="6"/>
    </row>
    <row r="165" spans="1:6" ht="15.95" customHeight="1">
      <c r="A165" s="5">
        <v>161</v>
      </c>
      <c r="B165" s="36" t="str">
        <f>HYPERLINK("https://onlinelibrary.wiley.com/journal/23249269","Molecular Genetics &amp; Genomic Medicine")</f>
        <v>Molecular Genetics &amp; Genomic Medicine</v>
      </c>
      <c r="C165" s="9">
        <v>1.5</v>
      </c>
      <c r="D165" s="17" t="s">
        <v>1654</v>
      </c>
      <c r="E165" s="34" t="s">
        <v>2030</v>
      </c>
      <c r="F165" s="6"/>
    </row>
    <row r="166" spans="1:6" ht="15.95" customHeight="1">
      <c r="A166" s="5">
        <v>162</v>
      </c>
      <c r="B166" s="36" t="str">
        <f>HYPERLINK("https://www.sciencedirect.com/journal/mutation-research-fundamental-and-molecular-mechanisms-of-mutagenesis","Mutation Research-Fundamental and Molecular Mechanisms of Mutagenesis")</f>
        <v>Mutation Research-Fundamental and Molecular Mechanisms of Mutagenesis</v>
      </c>
      <c r="C166" s="9">
        <v>1.5</v>
      </c>
      <c r="D166" s="17" t="s">
        <v>1658</v>
      </c>
      <c r="E166" s="34" t="s">
        <v>2030</v>
      </c>
      <c r="F166" s="6"/>
    </row>
    <row r="167" spans="1:6" ht="15.95" customHeight="1">
      <c r="A167" s="5">
        <v>163</v>
      </c>
      <c r="B167" s="36" t="str">
        <f>HYPERLINK("https://onlinelibrary.wiley.com/journal/gr","Genetics Research")</f>
        <v>Genetics Research</v>
      </c>
      <c r="C167" s="9">
        <v>1.4</v>
      </c>
      <c r="D167" s="17" t="s">
        <v>1630</v>
      </c>
      <c r="E167" s="34" t="s">
        <v>2030</v>
      </c>
      <c r="F167" s="6"/>
    </row>
    <row r="168" spans="1:6" ht="15.95" customHeight="1">
      <c r="A168" s="5">
        <v>164</v>
      </c>
      <c r="B168" s="36" t="str">
        <f>HYPERLINK("https://link.springer.com/journal/12041","Journal of Genetics")</f>
        <v>Journal of Genetics</v>
      </c>
      <c r="C168" s="9">
        <v>1.4</v>
      </c>
      <c r="D168" s="17" t="s">
        <v>1646</v>
      </c>
      <c r="E168" s="34" t="s">
        <v>2030</v>
      </c>
      <c r="F168" s="6"/>
    </row>
    <row r="169" spans="1:6" ht="15.95" customHeight="1">
      <c r="A169" s="5">
        <v>165</v>
      </c>
      <c r="B169" s="36" t="str">
        <f>HYPERLINK("https://onlinelibrary.wiley.com/journal/13652443","Genes to Cells")</f>
        <v>Genes to Cells</v>
      </c>
      <c r="C169" s="9">
        <v>1.3</v>
      </c>
      <c r="D169" s="17" t="s">
        <v>1620</v>
      </c>
      <c r="E169" s="34" t="s">
        <v>2030</v>
      </c>
      <c r="F169" s="6"/>
    </row>
    <row r="170" spans="1:6" ht="15.95" customHeight="1">
      <c r="A170" s="5">
        <v>166</v>
      </c>
      <c r="B170" s="36" t="str">
        <f>HYPERLINK("https://link.springer.com/journal/10709","Genetica")</f>
        <v>Genetica</v>
      </c>
      <c r="C170" s="9">
        <v>1.3</v>
      </c>
      <c r="D170" s="17" t="s">
        <v>1625</v>
      </c>
      <c r="E170" s="34" t="s">
        <v>2030</v>
      </c>
      <c r="F170" s="6"/>
    </row>
    <row r="171" spans="1:6" ht="15.95" customHeight="1">
      <c r="A171" s="5">
        <v>167</v>
      </c>
      <c r="B171" s="36" t="str">
        <f>HYPERLINK("https://molecularcytogenetics.biomedcentral.com/","Molecular Cytogenetics")</f>
        <v>Molecular Cytogenetics</v>
      </c>
      <c r="C171" s="9">
        <v>1.3</v>
      </c>
      <c r="D171" s="17" t="s">
        <v>1653</v>
      </c>
      <c r="E171" s="34" t="s">
        <v>2030</v>
      </c>
      <c r="F171" s="6"/>
    </row>
    <row r="172" spans="1:6" ht="15.95" customHeight="1">
      <c r="A172" s="5">
        <v>168</v>
      </c>
      <c r="B172" s="36" t="str">
        <f>HYPERLINK("https://www.tandfonline.com/journals/cngs20","New Genetics and Society")</f>
        <v>New Genetics and Society</v>
      </c>
      <c r="C172" s="9">
        <v>1.3</v>
      </c>
      <c r="D172" s="17" t="s">
        <v>1663</v>
      </c>
      <c r="E172" s="34" t="s">
        <v>2030</v>
      </c>
      <c r="F172" s="6"/>
    </row>
    <row r="173" spans="1:6" ht="15.95" customHeight="1">
      <c r="A173" s="5">
        <v>169</v>
      </c>
      <c r="B173" s="36" t="str">
        <f>HYPERLINK("https://www.sciencedirect.com/journal/journal-of-immunology-and-regenerative-medicine","Journal of Immunology and Regenerative Medicine")</f>
        <v>Journal of Immunology and Regenerative Medicine</v>
      </c>
      <c r="C173" s="9">
        <v>1.2</v>
      </c>
      <c r="D173" s="17" t="s">
        <v>256</v>
      </c>
      <c r="E173" s="34">
        <v>3</v>
      </c>
      <c r="F173" s="6"/>
    </row>
    <row r="174" spans="1:6" ht="15.95" customHeight="1">
      <c r="A174" s="5">
        <v>170</v>
      </c>
      <c r="B174" s="36" t="str">
        <f>HYPERLINK("https://home.liebertpub.com/publications/genetic-testing-and-molecular-biomarkers/18/overview","Genetic Testing and Molecular Biomarkers")</f>
        <v>Genetic Testing and Molecular Biomarkers</v>
      </c>
      <c r="C174" s="9">
        <v>1.1000000000000001</v>
      </c>
      <c r="D174" s="17" t="s">
        <v>1624</v>
      </c>
      <c r="E174" s="34" t="s">
        <v>2030</v>
      </c>
      <c r="F174" s="6"/>
    </row>
    <row r="175" spans="1:6" ht="15.95" customHeight="1">
      <c r="A175" s="5">
        <v>171</v>
      </c>
      <c r="B175" s="36" t="str">
        <f>HYPERLINK("https://immunopathol.com/","Immunopathologia Persa")</f>
        <v>Immunopathologia Persa</v>
      </c>
      <c r="C175" s="9">
        <v>1.1000000000000001</v>
      </c>
      <c r="D175" s="17" t="s">
        <v>236</v>
      </c>
      <c r="E175" s="34">
        <v>3</v>
      </c>
      <c r="F175" s="6"/>
    </row>
    <row r="176" spans="1:6" ht="15.95" customHeight="1">
      <c r="A176" s="5">
        <v>172</v>
      </c>
      <c r="B176" s="36" t="str">
        <f>HYPERLINK("https://www.irdrjournal.com/","Intractable &amp; Rare Diseases Research")</f>
        <v>Intractable &amp; Rare Diseases Research</v>
      </c>
      <c r="C176" s="9">
        <v>1.1000000000000001</v>
      </c>
      <c r="D176" s="17" t="s">
        <v>231</v>
      </c>
      <c r="E176" s="34" t="s">
        <v>2031</v>
      </c>
      <c r="F176" s="6"/>
    </row>
    <row r="177" spans="1:6" ht="15.95" customHeight="1">
      <c r="A177" s="5">
        <v>173</v>
      </c>
      <c r="B177" s="36" t="str">
        <f>HYPERLINK("https://www.frontierspartnerships.org/journals/journal-of-cutaneous-immunology-and-allergy","Journal of Cutaneous Immunology and Allergy")</f>
        <v>Journal of Cutaneous Immunology and Allergy</v>
      </c>
      <c r="C177" s="9">
        <v>1.1000000000000001</v>
      </c>
      <c r="D177" s="17" t="s">
        <v>191</v>
      </c>
      <c r="E177" s="34">
        <v>3</v>
      </c>
      <c r="F177" s="6"/>
    </row>
    <row r="178" spans="1:6" ht="15.95" customHeight="1">
      <c r="A178" s="5">
        <v>174</v>
      </c>
      <c r="B178" s="36" t="str">
        <f>HYPERLINK("https://home.liebertpub.com/publications/pediatric-allergy-immunology-and-pulmonology/48/overview","Pediatric Allergy, Immunology, and Pulmonology")</f>
        <v>Pediatric Allergy, Immunology, and Pulmonology</v>
      </c>
      <c r="C178" s="9">
        <v>1.1000000000000001</v>
      </c>
      <c r="D178" s="17" t="s">
        <v>182</v>
      </c>
      <c r="E178" s="34">
        <v>3</v>
      </c>
      <c r="F178" s="6"/>
    </row>
    <row r="179" spans="1:6" ht="15.95" customHeight="1">
      <c r="A179" s="5">
        <v>175</v>
      </c>
      <c r="B179" s="36" t="str">
        <f>HYPERLINK("https://www.xiahepublishing.com/journal/ge","Gene Expression")</f>
        <v>Gene Expression</v>
      </c>
      <c r="C179" s="9">
        <v>1</v>
      </c>
      <c r="D179" s="17" t="s">
        <v>1609</v>
      </c>
      <c r="E179" s="34" t="s">
        <v>2030</v>
      </c>
      <c r="F179" s="6"/>
    </row>
    <row r="180" spans="1:6" ht="15.95" customHeight="1">
      <c r="A180" s="5">
        <v>176</v>
      </c>
      <c r="B180" s="36" t="str">
        <f>HYPERLINK("https://www.sciencedirect.com/journal/gene-expression-patterns","Gene Expression Patterns")</f>
        <v>Gene Expression Patterns</v>
      </c>
      <c r="C180" s="9">
        <v>1</v>
      </c>
      <c r="D180" s="17" t="s">
        <v>1610</v>
      </c>
      <c r="E180" s="34" t="s">
        <v>2030</v>
      </c>
      <c r="F180" s="6"/>
    </row>
    <row r="181" spans="1:6" ht="15.95" customHeight="1">
      <c r="A181" s="5">
        <v>177</v>
      </c>
      <c r="B181" s="36" t="str">
        <f>HYPERLINK("https://www.sciencedirect.com/journal/gene-reports","Gene Reports")</f>
        <v>Gene Reports</v>
      </c>
      <c r="C181" s="9">
        <v>1</v>
      </c>
      <c r="D181" s="17" t="s">
        <v>1611</v>
      </c>
      <c r="E181" s="34" t="s">
        <v>2030</v>
      </c>
      <c r="F181" s="6"/>
    </row>
    <row r="182" spans="1:6" ht="15.95" customHeight="1">
      <c r="A182" s="5">
        <v>178</v>
      </c>
      <c r="B182" s="36" t="str">
        <f>HYPERLINK("https://www.nature.com/hgv/","Human Genome Variation")</f>
        <v>Human Genome Variation</v>
      </c>
      <c r="C182" s="9">
        <v>1</v>
      </c>
      <c r="D182" s="17" t="s">
        <v>1639</v>
      </c>
      <c r="E182" s="34" t="s">
        <v>2030</v>
      </c>
      <c r="F182" s="6"/>
    </row>
    <row r="183" spans="1:6" ht="15.95" customHeight="1">
      <c r="A183" s="5">
        <v>179</v>
      </c>
      <c r="B183" s="36" t="str">
        <f>HYPERLINK("https://www.cambridge.org/core/journals/twin-research-and-human-genetics","Twin Research and Human Genetics")</f>
        <v>Twin Research and Human Genetics</v>
      </c>
      <c r="C183" s="9">
        <v>1</v>
      </c>
      <c r="D183" s="17" t="s">
        <v>1675</v>
      </c>
      <c r="E183" s="34" t="s">
        <v>2030</v>
      </c>
      <c r="F183" s="6"/>
    </row>
    <row r="184" spans="1:6" ht="15.95" customHeight="1">
      <c r="A184" s="5">
        <v>180</v>
      </c>
      <c r="B184" s="36" t="str">
        <f>HYPERLINK("https://www.aimspress.com/journal/allergy","AIMS Allergy and Immunology")</f>
        <v>AIMS Allergy and Immunology</v>
      </c>
      <c r="C184" s="9">
        <v>0.9</v>
      </c>
      <c r="D184" s="17" t="s">
        <v>196</v>
      </c>
      <c r="E184" s="34">
        <v>3</v>
      </c>
      <c r="F184" s="6"/>
    </row>
    <row r="185" spans="1:6" ht="15.95" customHeight="1">
      <c r="A185" s="5">
        <v>181</v>
      </c>
      <c r="B185" s="36" t="str">
        <f>HYPERLINK("https://raredisorders.imedpub.com/","Journal of Rare Disorders: Diagnosis &amp; Therapy")</f>
        <v>Journal of Rare Disorders: Diagnosis &amp; Therapy</v>
      </c>
      <c r="C185" s="9">
        <v>0.81</v>
      </c>
      <c r="D185" s="17" t="s">
        <v>263</v>
      </c>
      <c r="E185" s="34" t="s">
        <v>2031</v>
      </c>
      <c r="F185" s="6"/>
    </row>
    <row r="186" spans="1:6" ht="15.95" customHeight="1">
      <c r="A186" s="5">
        <v>182</v>
      </c>
      <c r="B186" s="36" t="str">
        <f>HYPERLINK("https://e-century.us/web/journal.php?journal=ajcei","American Journal of Clinical and Experimental Immunology")</f>
        <v>American Journal of Clinical and Experimental Immunology</v>
      </c>
      <c r="C186" s="9">
        <v>0.8</v>
      </c>
      <c r="D186" s="17" t="s">
        <v>187</v>
      </c>
      <c r="E186" s="34">
        <v>3</v>
      </c>
      <c r="F186" s="6"/>
    </row>
    <row r="187" spans="1:6" ht="15.95" customHeight="1">
      <c r="A187" s="5">
        <v>183</v>
      </c>
      <c r="B187" s="36" t="str">
        <f>HYPERLINK("https://www.begellhouse.com/journals/critical-reviews-in-immunology.html","Critical Reviews™ in Immunology")</f>
        <v>Critical Reviews™ in Immunology</v>
      </c>
      <c r="C187" s="9">
        <v>0.8</v>
      </c>
      <c r="D187" s="17" t="s">
        <v>229</v>
      </c>
      <c r="E187" s="34">
        <v>3</v>
      </c>
      <c r="F187" s="6"/>
    </row>
    <row r="188" spans="1:6" ht="15.95" customHeight="1">
      <c r="A188" s="5">
        <v>184</v>
      </c>
      <c r="B188" s="36" t="str">
        <f>HYPERLINK("https://www.degruyter.com/journal/key/medgen/html?lang=en","Medical Genetics")</f>
        <v>Medical Genetics</v>
      </c>
      <c r="C188" s="9">
        <v>0.8</v>
      </c>
      <c r="D188" s="17" t="s">
        <v>1652</v>
      </c>
      <c r="E188" s="34" t="s">
        <v>2030</v>
      </c>
      <c r="F188" s="6"/>
    </row>
    <row r="189" spans="1:6" ht="15.95" customHeight="1">
      <c r="A189" s="5">
        <v>185</v>
      </c>
      <c r="B189" s="36" t="str">
        <f>HYPERLINK("https://www.degruyter.com/journal/key/sagmb/html?lang=en","Statistical Applications in Genetics and Molecular Biology")</f>
        <v>Statistical Applications in Genetics and Molecular Biology</v>
      </c>
      <c r="C189" s="9">
        <v>0.8</v>
      </c>
      <c r="D189" s="17" t="s">
        <v>1672</v>
      </c>
      <c r="E189" s="34" t="s">
        <v>2030</v>
      </c>
      <c r="F189" s="6"/>
    </row>
    <row r="190" spans="1:6" ht="15.95" customHeight="1">
      <c r="A190" s="5">
        <v>186</v>
      </c>
      <c r="B190" s="36" t="str">
        <f>HYPERLINK("https://geneticsmr.com/","Genetics and Molecular Research")</f>
        <v>Genetics and Molecular Research</v>
      </c>
      <c r="C190" s="9">
        <v>0.76500000000000001</v>
      </c>
      <c r="D190" s="17" t="s">
        <v>1628</v>
      </c>
      <c r="E190" s="34" t="s">
        <v>2030</v>
      </c>
      <c r="F190" s="6"/>
    </row>
    <row r="191" spans="1:6" ht="15.95" customHeight="1">
      <c r="A191" s="5">
        <v>187</v>
      </c>
      <c r="B191" s="36" t="str">
        <f>HYPERLINK("https://onlinelibrary.wiley.com/journal/1615","Case Reports in Immunology")</f>
        <v>Case Reports in Immunology</v>
      </c>
      <c r="C191" s="9">
        <v>0.7</v>
      </c>
      <c r="D191" s="17" t="s">
        <v>197</v>
      </c>
      <c r="E191" s="34">
        <v>3</v>
      </c>
      <c r="F191" s="6"/>
    </row>
    <row r="192" spans="1:6" ht="15.95" customHeight="1">
      <c r="A192" s="5">
        <v>188</v>
      </c>
      <c r="B192" s="36" t="str">
        <f>HYPERLINK("https://www.lidsen.com/journals/genetics","OBM Genetics")</f>
        <v>OBM Genetics</v>
      </c>
      <c r="C192" s="9">
        <v>0.6</v>
      </c>
      <c r="D192" s="17" t="s">
        <v>1665</v>
      </c>
      <c r="E192" s="34" t="s">
        <v>2030</v>
      </c>
      <c r="F192" s="6"/>
    </row>
    <row r="193" spans="1:6" ht="15.95" customHeight="1">
      <c r="A193" s="5">
        <v>189</v>
      </c>
      <c r="B193" s="36" t="str">
        <f>HYPERLINK("https://link.springer.com/journal/11956","Cytology and Genetics")</f>
        <v>Cytology and Genetics</v>
      </c>
      <c r="C193" s="9">
        <v>0.5</v>
      </c>
      <c r="D193" s="17" t="s">
        <v>1598</v>
      </c>
      <c r="E193" s="34" t="s">
        <v>2030</v>
      </c>
      <c r="F193" s="6"/>
    </row>
    <row r="194" spans="1:6" ht="15.95" customHeight="1">
      <c r="A194" s="5">
        <v>190</v>
      </c>
      <c r="B194" s="36" t="str">
        <f>HYPERLINK("https://lymphosign.com/about","LymphoSign Journal-The Journal of Inherited Immune Disorders")</f>
        <v>LymphoSign Journal-The Journal of Inherited Immune Disorders</v>
      </c>
      <c r="C194" s="9">
        <v>0.3</v>
      </c>
      <c r="D194" s="17" t="s">
        <v>250</v>
      </c>
      <c r="E194" s="34">
        <v>3</v>
      </c>
      <c r="F194" s="6"/>
    </row>
    <row r="195" spans="1:6" ht="15.95" customHeight="1">
      <c r="A195" s="5">
        <v>191</v>
      </c>
      <c r="B195" s="36" t="str">
        <f>HYPERLINK("https://www.turkishimmunology.org/","Turkish Journal of Immunology")</f>
        <v>Turkish Journal of Immunology</v>
      </c>
      <c r="C195" s="9">
        <v>0.2</v>
      </c>
      <c r="D195" s="17" t="s">
        <v>193</v>
      </c>
      <c r="E195" s="34">
        <v>3</v>
      </c>
      <c r="F195" s="6"/>
    </row>
    <row r="196" spans="1:6" ht="15.95" customHeight="1">
      <c r="A196" s="5">
        <v>192</v>
      </c>
      <c r="B196" s="36" t="str">
        <f>HYPERLINK("http://krepublishers.com/internationaljournalofhumangenetics.html","International Journal of Human Genetics")</f>
        <v>International Journal of Human Genetics</v>
      </c>
      <c r="C196" s="9">
        <v>0.1</v>
      </c>
      <c r="D196" s="17" t="s">
        <v>1643</v>
      </c>
      <c r="E196" s="34" t="s">
        <v>2030</v>
      </c>
      <c r="F196" s="6"/>
    </row>
    <row r="197" spans="1:6" ht="15.95" customHeight="1">
      <c r="A197" s="5">
        <v>193</v>
      </c>
      <c r="B197" s="36" t="str">
        <f>HYPERLINK("https://www.jscholaronline.org/journals/annals-of-immunology-and-cell-biology/","Annals of Immunology and Cell Biology")</f>
        <v>Annals of Immunology and Cell Biology</v>
      </c>
      <c r="C197" s="9" t="s">
        <v>172</v>
      </c>
      <c r="D197" s="17" t="s">
        <v>268</v>
      </c>
      <c r="E197" s="34">
        <v>3</v>
      </c>
      <c r="F197" s="6"/>
    </row>
    <row r="198" spans="1:6" ht="15.95" customHeight="1">
      <c r="A198" s="5">
        <v>194</v>
      </c>
      <c r="B198" s="36" t="str">
        <f>HYPERLINK("https://www.aai.org.tr/","Asthma Allergy Immunology")</f>
        <v>Asthma Allergy Immunology</v>
      </c>
      <c r="C198" s="9" t="s">
        <v>172</v>
      </c>
      <c r="D198" s="17" t="s">
        <v>234</v>
      </c>
      <c r="E198" s="34">
        <v>3</v>
      </c>
      <c r="F198" s="6"/>
    </row>
    <row r="199" spans="1:6" ht="15.95" customHeight="1">
      <c r="A199" s="5">
        <v>195</v>
      </c>
      <c r="B199" s="36" t="str">
        <f>HYPERLINK("https://atlasgeneticsoncology.org/","Atlas of Genetics and Cytogenetics in Oncology and Haematology")</f>
        <v>Atlas of Genetics and Cytogenetics in Oncology and Haematology</v>
      </c>
      <c r="C199" s="9" t="s">
        <v>172</v>
      </c>
      <c r="D199" s="17" t="s">
        <v>1581</v>
      </c>
      <c r="E199" s="34" t="s">
        <v>2030</v>
      </c>
      <c r="F199" s="6"/>
    </row>
    <row r="200" spans="1:6" ht="15.95" customHeight="1">
      <c r="A200" s="5">
        <v>196</v>
      </c>
      <c r="B200" s="36" t="str">
        <f>HYPERLINK("https://www.scielo.br/j/bjg/","Brazilian Journal of Genetics")</f>
        <v>Brazilian Journal of Genetics</v>
      </c>
      <c r="C200" s="9" t="s">
        <v>172</v>
      </c>
      <c r="D200" s="17" t="s">
        <v>1676</v>
      </c>
      <c r="E200" s="34" t="s">
        <v>2030</v>
      </c>
      <c r="F200" s="6"/>
    </row>
    <row r="201" spans="1:6" ht="15.95" customHeight="1">
      <c r="A201" s="5">
        <v>197</v>
      </c>
      <c r="B201" s="36" t="str">
        <f>HYPERLINK("https://canadianallergyandimmunologytoday.com/","Canadian Allergy &amp; Immunology Today")</f>
        <v>Canadian Allergy &amp; Immunology Today</v>
      </c>
      <c r="C201" s="9" t="s">
        <v>172</v>
      </c>
      <c r="D201" s="17" t="s">
        <v>269</v>
      </c>
      <c r="E201" s="34">
        <v>3</v>
      </c>
      <c r="F201" s="6"/>
    </row>
    <row r="202" spans="1:6" ht="15.95" customHeight="1">
      <c r="A202" s="5">
        <v>198</v>
      </c>
      <c r="B202" s="36" t="str">
        <f>HYPERLINK("https://www.ahajournals.org/journal/circgen","Circulation: Genomic and Precision Medicine")</f>
        <v>Circulation: Genomic and Precision Medicine</v>
      </c>
      <c r="C202" s="9" t="s">
        <v>172</v>
      </c>
      <c r="D202" s="17" t="s">
        <v>1589</v>
      </c>
      <c r="E202" s="34" t="s">
        <v>2030</v>
      </c>
      <c r="F202" s="6"/>
    </row>
    <row r="203" spans="1:6" ht="15.95" customHeight="1">
      <c r="A203" s="5">
        <v>199</v>
      </c>
      <c r="B203" s="36" t="str">
        <f>HYPERLINK("https://www.sciencedirect.com/journal/clinical-immunology-communications","Clinical Immunology Communications")</f>
        <v>Clinical Immunology Communications</v>
      </c>
      <c r="C203" s="9" t="s">
        <v>172</v>
      </c>
      <c r="D203" s="17" t="s">
        <v>252</v>
      </c>
      <c r="E203" s="34">
        <v>3</v>
      </c>
      <c r="F203" s="6"/>
    </row>
    <row r="204" spans="1:6" ht="15.95" customHeight="1">
      <c r="A204" s="5">
        <v>200</v>
      </c>
      <c r="B204" s="36" t="str">
        <f>HYPERLINK("https://www.sciencedirect.com/journal/comparative-immunology-reports","Comparative Immunology Reports")</f>
        <v>Comparative Immunology Reports</v>
      </c>
      <c r="C204" s="9" t="s">
        <v>172</v>
      </c>
      <c r="D204" s="17" t="s">
        <v>253</v>
      </c>
      <c r="E204" s="34">
        <v>3</v>
      </c>
      <c r="F204" s="6"/>
    </row>
    <row r="205" spans="1:6" ht="15.95" customHeight="1">
      <c r="A205" s="5">
        <v>201</v>
      </c>
      <c r="B205" s="36" t="str">
        <f>HYPERLINK("https://currentprotocols.onlinelibrary.wiley.com/journal/19348258","Current Protocols in Human Genetics")</f>
        <v>Current Protocols in Human Genetics</v>
      </c>
      <c r="C205" s="9" t="s">
        <v>172</v>
      </c>
      <c r="D205" s="17" t="s">
        <v>1596</v>
      </c>
      <c r="E205" s="34" t="s">
        <v>2030</v>
      </c>
      <c r="F205" s="6"/>
    </row>
    <row r="206" spans="1:6" ht="15.95" customHeight="1">
      <c r="A206" s="5">
        <v>202</v>
      </c>
      <c r="B206" s="36" t="str">
        <f>HYPERLINK("https://www.sciencedirect.com/journal/current-research-in-immunology","Current Research in Immunology")</f>
        <v>Current Research in Immunology</v>
      </c>
      <c r="C206" s="9" t="s">
        <v>172</v>
      </c>
      <c r="D206" s="17" t="s">
        <v>254</v>
      </c>
      <c r="E206" s="34">
        <v>3</v>
      </c>
      <c r="F206" s="6"/>
    </row>
    <row r="207" spans="1:6" ht="15.95" customHeight="1">
      <c r="A207" s="5">
        <v>203</v>
      </c>
      <c r="B207" s="36" t="str">
        <f>HYPERLINK("https://academic.oup.com/discovimmunology","Discovery Immunology")</f>
        <v>Discovery Immunology</v>
      </c>
      <c r="C207" s="9" t="s">
        <v>172</v>
      </c>
      <c r="D207" s="17" t="s">
        <v>265</v>
      </c>
      <c r="E207" s="34">
        <v>3</v>
      </c>
      <c r="F207" s="6"/>
    </row>
    <row r="208" spans="1:6" ht="15.95" customHeight="1">
      <c r="A208" s="5">
        <v>204</v>
      </c>
      <c r="B208" s="36" t="str">
        <f>HYPERLINK("https://genomicsinform.biomedcentral.com/","Genomics and Informatics")</f>
        <v>Genomics and Informatics</v>
      </c>
      <c r="C208" s="9" t="s">
        <v>172</v>
      </c>
      <c r="D208" s="17" t="s">
        <v>1636</v>
      </c>
      <c r="E208" s="34" t="s">
        <v>2030</v>
      </c>
      <c r="F208" s="6"/>
    </row>
    <row r="209" spans="1:6" ht="15.95" customHeight="1">
      <c r="A209" s="5">
        <v>205</v>
      </c>
      <c r="B209" s="36" t="str">
        <f>HYPERLINK("https://www.sciencedirect.com/journal/journal-of-allergy-and-clinical-immunology-global/about/editorial-board","Journal of Allergy and Clinical Immunology: Global")</f>
        <v>Journal of Allergy and Clinical Immunology: Global</v>
      </c>
      <c r="C209" s="9" t="s">
        <v>172</v>
      </c>
      <c r="D209" s="17" t="s">
        <v>255</v>
      </c>
      <c r="E209" s="34">
        <v>3</v>
      </c>
      <c r="F209" s="6"/>
    </row>
    <row r="210" spans="1:6" ht="15.95" customHeight="1">
      <c r="A210" s="5">
        <v>206</v>
      </c>
      <c r="B210" s="36" t="str">
        <f>HYPERLINK("https://sag.org.ar/jbag/en/bag/","Journal of Basic &amp; Applied Genetics")</f>
        <v>Journal of Basic &amp; Applied Genetics</v>
      </c>
      <c r="C210" s="9" t="s">
        <v>172</v>
      </c>
      <c r="D210" s="17" t="s">
        <v>1677</v>
      </c>
      <c r="E210" s="34" t="s">
        <v>2030</v>
      </c>
      <c r="F210" s="6"/>
    </row>
    <row r="211" spans="1:6" ht="15.95" customHeight="1">
      <c r="A211" s="5">
        <v>207</v>
      </c>
      <c r="B211" s="36" t="str">
        <f>HYPERLINK("https://www.omicsonline.org/journal-cell-biology-immunology.php","Journal of Cell Biology &amp; Immunology")</f>
        <v>Journal of Cell Biology &amp; Immunology</v>
      </c>
      <c r="C211" s="9" t="s">
        <v>172</v>
      </c>
      <c r="D211" s="17" t="s">
        <v>262</v>
      </c>
      <c r="E211" s="34">
        <v>3</v>
      </c>
      <c r="F211" s="6"/>
    </row>
    <row r="212" spans="1:6" ht="15.95" customHeight="1">
      <c r="A212" s="5">
        <v>208</v>
      </c>
      <c r="B212" s="36" t="str">
        <f>HYPERLINK("https://asthma-and-bronchitis.imedpub.com/","Journal of Clinical Immunology and Allergy")</f>
        <v>Journal of Clinical Immunology and Allergy</v>
      </c>
      <c r="C212" s="9" t="s">
        <v>172</v>
      </c>
      <c r="D212" s="17" t="s">
        <v>259</v>
      </c>
      <c r="E212" s="34">
        <v>3</v>
      </c>
      <c r="F212" s="6"/>
    </row>
    <row r="213" spans="1:6" ht="15.95" customHeight="1">
      <c r="A213" s="5">
        <v>209</v>
      </c>
      <c r="B213" s="36" t="str">
        <f>HYPERLINK("https://www.omicsonline.org/molecular-immunology.php","Journal of Molecular Immunology")</f>
        <v>Journal of Molecular Immunology</v>
      </c>
      <c r="C213" s="9" t="s">
        <v>172</v>
      </c>
      <c r="D213" s="17" t="s">
        <v>260</v>
      </c>
      <c r="E213" s="34">
        <v>3</v>
      </c>
      <c r="F213" s="6"/>
    </row>
    <row r="214" spans="1:6" ht="15.95" customHeight="1">
      <c r="A214" s="5">
        <v>210</v>
      </c>
      <c r="B214" s="36" t="str">
        <f>HYPERLINK("https://link.springer.com/journal/44162","Journal of Rare Diseases")</f>
        <v>Journal of Rare Diseases</v>
      </c>
      <c r="C214" s="9" t="s">
        <v>172</v>
      </c>
      <c r="D214" s="17" t="s">
        <v>266</v>
      </c>
      <c r="E214" s="34" t="s">
        <v>2031</v>
      </c>
      <c r="F214" s="6"/>
    </row>
    <row r="215" spans="1:6" ht="15.95" customHeight="1">
      <c r="A215" s="5">
        <v>211</v>
      </c>
      <c r="B215" s="36" t="str">
        <f>HYPERLINK("https://www.oaepublish.com/jtgg","Journal of Translational Genetics and Genomics")</f>
        <v>Journal of Translational Genetics and Genomics</v>
      </c>
      <c r="C215" s="9" t="s">
        <v>172</v>
      </c>
      <c r="D215" s="17" t="s">
        <v>1650</v>
      </c>
      <c r="E215" s="34" t="s">
        <v>2030</v>
      </c>
      <c r="F215" s="6"/>
    </row>
    <row r="216" spans="1:6" ht="15.95" customHeight="1">
      <c r="A216" s="5">
        <v>212</v>
      </c>
      <c r="B216" s="36" t="str">
        <f>HYPERLINK("https://academic.oup.com/ooim","Oxford Open Immunology")</f>
        <v>Oxford Open Immunology</v>
      </c>
      <c r="C216" s="9" t="s">
        <v>172</v>
      </c>
      <c r="D216" s="17" t="s">
        <v>264</v>
      </c>
      <c r="E216" s="34">
        <v>3</v>
      </c>
      <c r="F216" s="6"/>
    </row>
  </sheetData>
  <autoFilter ref="A4:F216"/>
  <sortState ref="A5:F216">
    <sortCondition descending="1" ref="C5:C216"/>
    <sortCondition ref="B5:B216"/>
  </sortState>
  <mergeCells count="2">
    <mergeCell ref="A1:F1"/>
    <mergeCell ref="A2:F3"/>
  </mergeCells>
  <hyperlinks>
    <hyperlink ref="D6" r:id="rId1"/>
    <hyperlink ref="D5" r:id="rId2"/>
    <hyperlink ref="D11" r:id="rId3"/>
    <hyperlink ref="D13" r:id="rId4"/>
    <hyperlink ref="D9" r:id="rId5"/>
    <hyperlink ref="D7" r:id="rId6"/>
    <hyperlink ref="D20" r:id="rId7"/>
    <hyperlink ref="D12" r:id="rId8"/>
    <hyperlink ref="D30" r:id="rId9"/>
    <hyperlink ref="D22" r:id="rId10"/>
    <hyperlink ref="D23" r:id="rId11"/>
    <hyperlink ref="D8" r:id="rId12"/>
    <hyperlink ref="D17" r:id="rId13"/>
    <hyperlink ref="D16" r:id="rId14"/>
    <hyperlink ref="D21" r:id="rId15"/>
    <hyperlink ref="D19" r:id="rId16"/>
    <hyperlink ref="D25" r:id="rId17"/>
    <hyperlink ref="D178" r:id="rId18"/>
    <hyperlink ref="D44" r:id="rId19"/>
    <hyperlink ref="D56" r:id="rId20"/>
    <hyperlink ref="D152" r:id="rId21"/>
    <hyperlink ref="D63" r:id="rId22"/>
    <hyperlink ref="D186" r:id="rId23"/>
    <hyperlink ref="D125" r:id="rId24"/>
    <hyperlink ref="D60" r:id="rId25"/>
    <hyperlink ref="D91" r:id="rId26"/>
    <hyperlink ref="D50" r:id="rId27"/>
    <hyperlink ref="D195" r:id="rId28"/>
    <hyperlink ref="D97" r:id="rId29"/>
    <hyperlink ref="D88" r:id="rId30"/>
    <hyperlink ref="D184" r:id="rId31"/>
    <hyperlink ref="D191" r:id="rId32"/>
    <hyperlink ref="D69" r:id="rId33"/>
    <hyperlink ref="D53" r:id="rId34"/>
    <hyperlink ref="D28" r:id="rId35"/>
    <hyperlink ref="D74" r:id="rId36"/>
    <hyperlink ref="D71" r:id="rId37"/>
    <hyperlink ref="D58" r:id="rId38"/>
    <hyperlink ref="D86" r:id="rId39"/>
    <hyperlink ref="D94" r:id="rId40"/>
    <hyperlink ref="D81" r:id="rId41"/>
    <hyperlink ref="D99" r:id="rId42"/>
    <hyperlink ref="D52" r:id="rId43"/>
    <hyperlink ref="D37" r:id="rId44"/>
    <hyperlink ref="D36" r:id="rId45"/>
    <hyperlink ref="D41" r:id="rId46"/>
    <hyperlink ref="D105" r:id="rId47"/>
    <hyperlink ref="D123" r:id="rId48"/>
    <hyperlink ref="D102" r:id="rId49"/>
    <hyperlink ref="D120" r:id="rId50"/>
    <hyperlink ref="D146" r:id="rId51"/>
    <hyperlink ref="D142" r:id="rId52"/>
    <hyperlink ref="D62" r:id="rId53"/>
    <hyperlink ref="D100" r:id="rId54"/>
    <hyperlink ref="D162" r:id="rId55"/>
    <hyperlink ref="D38" r:id="rId56"/>
    <hyperlink ref="D42" r:id="rId57"/>
    <hyperlink ref="D49" r:id="rId58"/>
    <hyperlink ref="D187" r:id="rId59"/>
    <hyperlink ref="D163" r:id="rId60"/>
    <hyperlink ref="D176" r:id="rId61"/>
    <hyperlink ref="D48" r:id="rId62"/>
    <hyperlink ref="D198" r:id="rId63"/>
    <hyperlink ref="D119" r:id="rId64"/>
    <hyperlink ref="D175" r:id="rId65"/>
    <hyperlink ref="D77" r:id="rId66"/>
    <hyperlink ref="D121" r:id="rId67"/>
    <hyperlink ref="D95" r:id="rId68"/>
    <hyperlink ref="D110" r:id="rId69"/>
    <hyperlink ref="D39" r:id="rId70"/>
    <hyperlink ref="D40" r:id="rId71"/>
    <hyperlink ref="D104" r:id="rId72"/>
    <hyperlink ref="D131" r:id="rId73"/>
    <hyperlink ref="D109" r:id="rId74"/>
    <hyperlink ref="D137" r:id="rId75"/>
    <hyperlink ref="D161" r:id="rId76"/>
    <hyperlink ref="D194" r:id="rId77"/>
    <hyperlink ref="D67" r:id="rId78"/>
    <hyperlink ref="D203" r:id="rId79"/>
    <hyperlink ref="D204" r:id="rId80"/>
    <hyperlink ref="D209" r:id="rId81"/>
    <hyperlink ref="D173" r:id="rId82"/>
    <hyperlink ref="D27" r:id="rId83"/>
    <hyperlink ref="D158" r:id="rId84"/>
    <hyperlink ref="D212" r:id="rId85"/>
    <hyperlink ref="D213" r:id="rId86"/>
    <hyperlink ref="D18" r:id="rId87"/>
    <hyperlink ref="D211" r:id="rId88"/>
    <hyperlink ref="D185" r:id="rId89"/>
    <hyperlink ref="D216" r:id="rId90"/>
    <hyperlink ref="D207" r:id="rId91"/>
    <hyperlink ref="D72" r:id="rId92"/>
    <hyperlink ref="D197" r:id="rId93"/>
    <hyperlink ref="D201" r:id="rId94"/>
    <hyperlink ref="D10" r:id="rId95"/>
    <hyperlink ref="D68" r:id="rId96"/>
    <hyperlink ref="D132" r:id="rId97"/>
    <hyperlink ref="D117" r:id="rId98"/>
    <hyperlink ref="D64" r:id="rId99"/>
    <hyperlink ref="D177" r:id="rId100"/>
    <hyperlink ref="D214" r:id="rId101"/>
    <hyperlink ref="D206" r:id="rId102"/>
    <hyperlink ref="D108" r:id="rId103"/>
    <hyperlink ref="D93" r:id="rId104"/>
    <hyperlink ref="D90" r:id="rId105"/>
    <hyperlink ref="D51" r:id="rId106"/>
    <hyperlink ref="D92" r:id="rId107"/>
    <hyperlink ref="D127" r:id="rId108"/>
    <hyperlink ref="D33" r:id="rId109"/>
    <hyperlink ref="D153" r:id="rId110"/>
    <hyperlink ref="D112" r:id="rId111"/>
    <hyperlink ref="D144" r:id="rId112"/>
    <hyperlink ref="D34" r:id="rId113"/>
    <hyperlink ref="D35" r:id="rId114"/>
    <hyperlink ref="D199" r:id="rId115"/>
    <hyperlink ref="D124" r:id="rId116"/>
    <hyperlink ref="D140" r:id="rId117"/>
    <hyperlink ref="D145" r:id="rId118"/>
    <hyperlink ref="D85" r:id="rId119"/>
    <hyperlink ref="D141" r:id="rId120"/>
    <hyperlink ref="D130" r:id="rId121"/>
    <hyperlink ref="D29" r:id="rId122"/>
    <hyperlink ref="D202" r:id="rId123"/>
    <hyperlink ref="D57" r:id="rId124"/>
    <hyperlink ref="D106" r:id="rId125"/>
    <hyperlink ref="D116" r:id="rId126"/>
    <hyperlink ref="D78" r:id="rId127"/>
    <hyperlink ref="D148" r:id="rId128"/>
    <hyperlink ref="D82" r:id="rId129"/>
    <hyperlink ref="D205" r:id="rId130"/>
    <hyperlink ref="D154" r:id="rId131"/>
    <hyperlink ref="D193" r:id="rId132"/>
    <hyperlink ref="D149" r:id="rId133"/>
    <hyperlink ref="D107" r:id="rId134"/>
    <hyperlink ref="D70" r:id="rId135"/>
    <hyperlink ref="D96" r:id="rId136"/>
    <hyperlink ref="D103" r:id="rId137"/>
    <hyperlink ref="D83" r:id="rId138"/>
    <hyperlink ref="D159" r:id="rId139"/>
    <hyperlink ref="D113" r:id="rId140"/>
    <hyperlink ref="D75" r:id="rId141"/>
    <hyperlink ref="D115" r:id="rId142"/>
    <hyperlink ref="D179" r:id="rId143"/>
    <hyperlink ref="D180" r:id="rId144"/>
    <hyperlink ref="D181" r:id="rId145"/>
    <hyperlink ref="D61" r:id="rId146"/>
    <hyperlink ref="D114" r:id="rId147"/>
    <hyperlink ref="D43" r:id="rId148"/>
    <hyperlink ref="D26" r:id="rId149"/>
    <hyperlink ref="D118" r:id="rId150"/>
    <hyperlink ref="D164" r:id="rId151"/>
    <hyperlink ref="D160" r:id="rId152"/>
    <hyperlink ref="D55" r:id="rId153"/>
    <hyperlink ref="D169" r:id="rId154"/>
    <hyperlink ref="D134" r:id="rId155"/>
    <hyperlink ref="D135" r:id="rId156"/>
    <hyperlink ref="D155" r:id="rId157"/>
    <hyperlink ref="D174" r:id="rId158"/>
    <hyperlink ref="D170" r:id="rId159"/>
    <hyperlink ref="D65" r:id="rId160"/>
    <hyperlink ref="D156" r:id="rId161"/>
    <hyperlink ref="D190" r:id="rId162"/>
    <hyperlink ref="D45" r:id="rId163"/>
    <hyperlink ref="D167" r:id="rId164"/>
    <hyperlink ref="D136" r:id="rId165"/>
    <hyperlink ref="D32" r:id="rId166"/>
    <hyperlink ref="D31" r:id="rId167"/>
    <hyperlink ref="D47" r:id="rId168"/>
    <hyperlink ref="D89" r:id="rId169"/>
    <hyperlink ref="D208" r:id="rId170"/>
    <hyperlink ref="D76" r:id="rId171"/>
    <hyperlink ref="D79" r:id="rId172"/>
    <hyperlink ref="D182" r:id="rId173"/>
    <hyperlink ref="D80" r:id="rId174"/>
    <hyperlink ref="D101" r:id="rId175"/>
    <hyperlink ref="D128" r:id="rId176"/>
    <hyperlink ref="D196" r:id="rId177"/>
    <hyperlink ref="D143" r:id="rId178"/>
    <hyperlink ref="D98" r:id="rId179"/>
    <hyperlink ref="D168" r:id="rId180"/>
    <hyperlink ref="D46" r:id="rId181"/>
    <hyperlink ref="D129" r:id="rId182"/>
    <hyperlink ref="D87" r:id="rId183"/>
    <hyperlink ref="D215" r:id="rId184"/>
    <hyperlink ref="D122" r:id="rId185"/>
    <hyperlink ref="D188" r:id="rId186"/>
    <hyperlink ref="D171" r:id="rId187"/>
    <hyperlink ref="D165" r:id="rId188"/>
    <hyperlink ref="D138" r:id="rId189"/>
    <hyperlink ref="D84" r:id="rId190"/>
    <hyperlink ref="D150" r:id="rId191"/>
    <hyperlink ref="D166" r:id="rId192"/>
    <hyperlink ref="D139" r:id="rId193"/>
    <hyperlink ref="D73" r:id="rId194"/>
    <hyperlink ref="D15" r:id="rId195"/>
    <hyperlink ref="D14" r:id="rId196"/>
    <hyperlink ref="D172" r:id="rId197"/>
    <hyperlink ref="D59" r:id="rId198"/>
    <hyperlink ref="D192" r:id="rId199"/>
    <hyperlink ref="D157" r:id="rId200"/>
    <hyperlink ref="D147" r:id="rId201"/>
    <hyperlink ref="D151" r:id="rId202" location="aims-and-scope" display="https://www.tandfonline.com/journals/dpgp20/about-this-journal - aims-and-scope"/>
    <hyperlink ref="D111" r:id="rId203"/>
    <hyperlink ref="D133" r:id="rId204"/>
    <hyperlink ref="D54" r:id="rId205"/>
    <hyperlink ref="D189" r:id="rId206"/>
    <hyperlink ref="D66" r:id="rId207"/>
    <hyperlink ref="D24" r:id="rId208"/>
    <hyperlink ref="D183" r:id="rId209"/>
    <hyperlink ref="D200" r:id="rId210"/>
    <hyperlink ref="D210" r:id="rId211"/>
    <hyperlink ref="D126" r:id="rId212"/>
  </hyperlinks>
  <pageMargins left="0.7" right="0.7" top="0.75" bottom="0.75" header="0" footer="0"/>
  <pageSetup orientation="landscape" r:id="rId2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Normal="10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9.140625" defaultRowHeight="12.75"/>
  <cols>
    <col min="1" max="1" width="6.140625" style="54" customWidth="1"/>
    <col min="2" max="2" width="70.85546875" style="54" customWidth="1"/>
    <col min="3" max="3" width="15.5703125" style="54" customWidth="1"/>
    <col min="4" max="4" width="15.85546875" style="54" customWidth="1"/>
    <col min="5" max="5" width="18" style="54" customWidth="1"/>
    <col min="6" max="6" width="44.140625" style="54" customWidth="1"/>
    <col min="7" max="7" width="42.42578125" style="54" customWidth="1"/>
    <col min="8" max="16384" width="9.140625" style="54"/>
  </cols>
  <sheetData>
    <row r="1" spans="1:7" ht="25.35" customHeight="1">
      <c r="A1" s="88" t="s">
        <v>0</v>
      </c>
      <c r="B1" s="89"/>
      <c r="C1" s="89"/>
      <c r="D1" s="89"/>
      <c r="E1" s="89"/>
      <c r="F1" s="89"/>
      <c r="G1" s="89"/>
    </row>
    <row r="2" spans="1:7" ht="15" customHeight="1">
      <c r="A2" s="90" t="s">
        <v>1</v>
      </c>
      <c r="B2" s="90"/>
      <c r="C2" s="90"/>
      <c r="D2" s="90"/>
      <c r="E2" s="90"/>
      <c r="F2" s="90"/>
      <c r="G2" s="90"/>
    </row>
    <row r="3" spans="1:7" ht="15" customHeight="1">
      <c r="A3" s="90"/>
      <c r="B3" s="90"/>
      <c r="C3" s="90"/>
      <c r="D3" s="90"/>
      <c r="E3" s="90"/>
      <c r="F3" s="90"/>
      <c r="G3" s="90"/>
    </row>
    <row r="4" spans="1:7" ht="28.5" customHeight="1">
      <c r="A4" s="7" t="s">
        <v>2</v>
      </c>
      <c r="B4" s="49" t="s">
        <v>2044</v>
      </c>
      <c r="C4" s="7" t="s">
        <v>12</v>
      </c>
      <c r="D4" s="7" t="s">
        <v>13</v>
      </c>
      <c r="E4" s="49" t="s">
        <v>2045</v>
      </c>
      <c r="F4" s="7" t="s">
        <v>5</v>
      </c>
      <c r="G4" s="49" t="s">
        <v>6</v>
      </c>
    </row>
    <row r="5" spans="1:7" ht="15.75" customHeight="1">
      <c r="A5" s="55">
        <v>1</v>
      </c>
      <c r="B5" s="51" t="str">
        <f>HYPERLINK("https://hospitalprivado.com.ar/especialidades-medicas/alergia-e-inmunologia.html","Private University Hospital of Córdoba")</f>
        <v>Private University Hospital of Córdoba</v>
      </c>
      <c r="C5" s="56" t="s">
        <v>15</v>
      </c>
      <c r="D5" s="56" t="s">
        <v>161</v>
      </c>
      <c r="E5" s="56" t="s">
        <v>2106</v>
      </c>
      <c r="F5" s="51" t="s">
        <v>2120</v>
      </c>
      <c r="G5" s="2"/>
    </row>
    <row r="6" spans="1:7" ht="15.75" customHeight="1">
      <c r="A6" s="55">
        <v>2</v>
      </c>
      <c r="B6" s="51" t="str">
        <f>HYPERLINK("https://compass.clinic/services/","Compass Immunology Clinic")</f>
        <v>Compass Immunology Clinic</v>
      </c>
      <c r="C6" s="56" t="s">
        <v>15</v>
      </c>
      <c r="D6" s="56" t="s">
        <v>162</v>
      </c>
      <c r="E6" s="56" t="s">
        <v>2067</v>
      </c>
      <c r="F6" s="51" t="s">
        <v>2121</v>
      </c>
      <c r="G6" s="2"/>
    </row>
    <row r="7" spans="1:7" ht="15.75" customHeight="1">
      <c r="A7" s="55">
        <v>3</v>
      </c>
      <c r="B7" s="51" t="str">
        <f>HYPERLINK("https://hillsallergyspecialists.clinic/allergy-and-immunology-consultation/","Hills Allergy and Specialists Clinic")</f>
        <v>Hills Allergy and Specialists Clinic</v>
      </c>
      <c r="C7" s="56" t="s">
        <v>15</v>
      </c>
      <c r="D7" s="56" t="s">
        <v>162</v>
      </c>
      <c r="E7" s="56" t="s">
        <v>2122</v>
      </c>
      <c r="F7" s="51" t="s">
        <v>2123</v>
      </c>
      <c r="G7" s="2"/>
    </row>
    <row r="8" spans="1:7" ht="15.75" customHeight="1">
      <c r="A8" s="55">
        <v>4</v>
      </c>
      <c r="B8" s="51" t="str">
        <f>HYPERLINK("https://www.allergyasthma.com.au/","Melbourne Allergy Asthma &amp; Immunology Consultants")</f>
        <v>Melbourne Allergy Asthma &amp; Immunology Consultants</v>
      </c>
      <c r="C8" s="56" t="s">
        <v>15</v>
      </c>
      <c r="D8" s="56" t="s">
        <v>162</v>
      </c>
      <c r="E8" s="56" t="s">
        <v>2067</v>
      </c>
      <c r="F8" s="51" t="s">
        <v>2124</v>
      </c>
      <c r="G8" s="2"/>
    </row>
    <row r="9" spans="1:7" ht="15.75" customHeight="1">
      <c r="A9" s="55">
        <v>5</v>
      </c>
      <c r="B9" s="51" t="str">
        <f>HYPERLINK("https://www.allergynewcastle.com.au/services","Newcastle Allergy Immunology")</f>
        <v>Newcastle Allergy Immunology</v>
      </c>
      <c r="C9" s="56" t="s">
        <v>15</v>
      </c>
      <c r="D9" s="56" t="s">
        <v>162</v>
      </c>
      <c r="E9" s="56" t="s">
        <v>2125</v>
      </c>
      <c r="F9" s="51" t="s">
        <v>2126</v>
      </c>
      <c r="G9" s="2"/>
    </row>
    <row r="10" spans="1:7" ht="15.75" customHeight="1">
      <c r="A10" s="55">
        <v>6</v>
      </c>
      <c r="B10" s="51" t="str">
        <f>HYPERLINK("https://www.stvincentsclinic.com.au/find-a-doctor/specialties/clinical-immunology","St Vincent's Clinic")</f>
        <v>St Vincent's Clinic</v>
      </c>
      <c r="C10" s="56" t="s">
        <v>15</v>
      </c>
      <c r="D10" s="56" t="s">
        <v>162</v>
      </c>
      <c r="E10" s="56" t="s">
        <v>2067</v>
      </c>
      <c r="F10" s="51" t="s">
        <v>2127</v>
      </c>
      <c r="G10" s="2"/>
    </row>
    <row r="11" spans="1:7" ht="15.75" customHeight="1">
      <c r="A11" s="55">
        <v>7</v>
      </c>
      <c r="B11" s="51" t="str">
        <f>HYPERLINK("https://clinicaferraroni.com.br/","Ferraroni Clinic")</f>
        <v>Ferraroni Clinic</v>
      </c>
      <c r="C11" s="56" t="s">
        <v>15</v>
      </c>
      <c r="D11" s="56" t="s">
        <v>276</v>
      </c>
      <c r="E11" s="56" t="s">
        <v>2106</v>
      </c>
      <c r="F11" s="51" t="s">
        <v>2128</v>
      </c>
      <c r="G11" s="2"/>
    </row>
    <row r="12" spans="1:7" ht="15.75" customHeight="1">
      <c r="A12" s="55">
        <v>8</v>
      </c>
      <c r="B12" s="51" t="str">
        <f>HYPERLINK("https://www.providencehealthcare.org/en/clinics/primary-immunology-transition-clinic","Providence Health Care - Primary Immunology Transition Clinic")</f>
        <v>Providence Health Care - Primary Immunology Transition Clinic</v>
      </c>
      <c r="C12" s="56" t="s">
        <v>15</v>
      </c>
      <c r="D12" s="56" t="s">
        <v>23</v>
      </c>
      <c r="E12" s="56" t="s">
        <v>2106</v>
      </c>
      <c r="F12" s="51" t="s">
        <v>2129</v>
      </c>
      <c r="G12" s="2"/>
    </row>
    <row r="13" spans="1:7" ht="15.75" customHeight="1">
      <c r="A13" s="55">
        <v>9</v>
      </c>
      <c r="B13" s="51" t="str">
        <f>HYPERLINK("https://www.surreyallergyclinic.ca/","Surrey Allergy Clinic")</f>
        <v>Surrey Allergy Clinic</v>
      </c>
      <c r="C13" s="56" t="s">
        <v>15</v>
      </c>
      <c r="D13" s="56" t="s">
        <v>23</v>
      </c>
      <c r="E13" s="56" t="s">
        <v>2067</v>
      </c>
      <c r="F13" s="51" t="s">
        <v>2130</v>
      </c>
      <c r="G13" s="2"/>
    </row>
    <row r="14" spans="1:7" ht="15.75" customHeight="1">
      <c r="A14" s="55">
        <v>10</v>
      </c>
      <c r="B14" s="51" t="str">
        <f>HYPERLINK("https://www.borisclinic.ca/areas-of-care/specialized-services-clinics/allergy-immunology/","The Boris Clinic")</f>
        <v>The Boris Clinic</v>
      </c>
      <c r="C14" s="56" t="s">
        <v>15</v>
      </c>
      <c r="D14" s="56" t="s">
        <v>23</v>
      </c>
      <c r="E14" s="56" t="s">
        <v>2067</v>
      </c>
      <c r="F14" s="51" t="s">
        <v>2131</v>
      </c>
      <c r="G14" s="2"/>
    </row>
    <row r="15" spans="1:7" ht="15.75" customHeight="1">
      <c r="A15" s="55">
        <v>11</v>
      </c>
      <c r="B15" s="51" t="str">
        <f>HYPERLINK("https://www.swissmedical.net/en/hospitals/genolier/specialties/allergology-immunology","Allergy and Immunology Service, Genolier Clinic")</f>
        <v>Allergy and Immunology Service, Genolier Clinic</v>
      </c>
      <c r="C15" s="56" t="s">
        <v>15</v>
      </c>
      <c r="D15" s="56" t="s">
        <v>88</v>
      </c>
      <c r="E15" s="56" t="s">
        <v>2132</v>
      </c>
      <c r="F15" s="51" t="s">
        <v>2133</v>
      </c>
      <c r="G15" s="2"/>
    </row>
    <row r="16" spans="1:7" ht="15.75" customHeight="1">
      <c r="A16" s="55">
        <v>12</v>
      </c>
      <c r="B16" s="51" t="str">
        <f>HYPERLINK("https://www.swissmedical.net/en/hospitals/montchoisi/specialties/allergology-immunology","Allergy and Immunology Service, Montchoisi Clinic")</f>
        <v>Allergy and Immunology Service, Montchoisi Clinic</v>
      </c>
      <c r="C16" s="56" t="s">
        <v>15</v>
      </c>
      <c r="D16" s="56" t="s">
        <v>88</v>
      </c>
      <c r="E16" s="56" t="s">
        <v>2132</v>
      </c>
      <c r="F16" s="51" t="s">
        <v>2134</v>
      </c>
      <c r="G16" s="2"/>
    </row>
    <row r="17" spans="1:7" ht="15.75" customHeight="1">
      <c r="A17" s="55">
        <v>13</v>
      </c>
      <c r="B17" s="51" t="str">
        <f>HYPERLINK("https://www.swissmedical.net/de/aerztezentren/oerlikon/fachgebiete/allergologie-immunologie","Allergy and Immunology Service, Oerlikon Medical Center")</f>
        <v>Allergy and Immunology Service, Oerlikon Medical Center</v>
      </c>
      <c r="C17" s="56" t="s">
        <v>15</v>
      </c>
      <c r="D17" s="56" t="s">
        <v>88</v>
      </c>
      <c r="E17" s="56" t="s">
        <v>2132</v>
      </c>
      <c r="F17" s="51" t="s">
        <v>2135</v>
      </c>
      <c r="G17" s="2"/>
    </row>
    <row r="18" spans="1:7" ht="15.75" customHeight="1">
      <c r="A18" s="55">
        <v>14</v>
      </c>
      <c r="B18" s="51" t="str">
        <f>HYPERLINK("https://www.swissmedical.net/en/hospitals/valere/specialties/allergology-immunology","Allergy and Immunology Service, Valère Clinic")</f>
        <v>Allergy and Immunology Service, Valère Clinic</v>
      </c>
      <c r="C18" s="56" t="s">
        <v>15</v>
      </c>
      <c r="D18" s="56" t="s">
        <v>88</v>
      </c>
      <c r="E18" s="56" t="s">
        <v>2132</v>
      </c>
      <c r="F18" s="51" t="s">
        <v>2136</v>
      </c>
      <c r="G18" s="2"/>
    </row>
    <row r="19" spans="1:7" ht="15.75" customHeight="1">
      <c r="A19" s="55">
        <v>15</v>
      </c>
      <c r="B19" s="51" t="str">
        <f>HYPERLINK("https://pcvmontreal.com/specialites-medicales/allergie","Polyclinique Centre-Ville Immuno-Allergy Clinic")</f>
        <v>Polyclinique Centre-Ville Immuno-Allergy Clinic</v>
      </c>
      <c r="C19" s="56" t="s">
        <v>15</v>
      </c>
      <c r="D19" s="56" t="s">
        <v>88</v>
      </c>
      <c r="E19" s="56" t="s">
        <v>2106</v>
      </c>
      <c r="F19" s="51" t="s">
        <v>2137</v>
      </c>
      <c r="G19" s="2"/>
    </row>
    <row r="20" spans="1:7" ht="15.75" customHeight="1">
      <c r="A20" s="55">
        <v>16</v>
      </c>
      <c r="B20" s="51" t="str">
        <f>HYPERLINK("https://www.marienhospital-herne.de/fachbereiche/medizinische-klinik-i-allgemeine-innere-nephrologie-gastroenterologie-pneumologie/immundefektambulanz.html","Immunodeficiency Outpatient Clinic, Marien Hospital Herne University Hospital")</f>
        <v>Immunodeficiency Outpatient Clinic, Marien Hospital Herne University Hospital</v>
      </c>
      <c r="C20" s="56" t="s">
        <v>15</v>
      </c>
      <c r="D20" s="56" t="s">
        <v>91</v>
      </c>
      <c r="E20" s="56" t="s">
        <v>2067</v>
      </c>
      <c r="F20" s="51" t="s">
        <v>2138</v>
      </c>
      <c r="G20" s="2"/>
    </row>
    <row r="21" spans="1:7" ht="15.75" customHeight="1">
      <c r="A21" s="55">
        <v>17</v>
      </c>
      <c r="B21" s="51" t="str">
        <f>HYPERLINK("https://immunodeficiencycenterleipzig.jimdofree.com/","The Immune Defect Center Leipzig (IDCL)")</f>
        <v>The Immune Defect Center Leipzig (IDCL)</v>
      </c>
      <c r="C21" s="56" t="s">
        <v>15</v>
      </c>
      <c r="D21" s="56" t="s">
        <v>91</v>
      </c>
      <c r="E21" s="56" t="s">
        <v>1557</v>
      </c>
      <c r="F21" s="51" t="s">
        <v>2139</v>
      </c>
      <c r="G21" s="2"/>
    </row>
    <row r="22" spans="1:7" ht="15.75" customHeight="1">
      <c r="A22" s="55">
        <v>18</v>
      </c>
      <c r="B22" s="51" t="str">
        <f>HYPERLINK("https://www.gaslini.org/reparti/immunologia-clinica-e-sperimentale/","Giannina Gaslini Institute")</f>
        <v>Giannina Gaslini Institute</v>
      </c>
      <c r="C22" s="56" t="s">
        <v>15</v>
      </c>
      <c r="D22" s="56" t="s">
        <v>16</v>
      </c>
      <c r="E22" s="56" t="s">
        <v>2048</v>
      </c>
      <c r="F22" s="51" t="s">
        <v>2140</v>
      </c>
      <c r="G22" s="2"/>
    </row>
    <row r="23" spans="1:7" ht="15.75" customHeight="1">
      <c r="A23" s="55">
        <v>19</v>
      </c>
      <c r="B23" s="51" t="str">
        <f>HYPERLINK("https://www.auxologico.it/immunologia-allergologia-reumatologia#equipe","Italian Auxological Institute San Luca Hospital")</f>
        <v>Italian Auxological Institute San Luca Hospital</v>
      </c>
      <c r="C23" s="56" t="s">
        <v>15</v>
      </c>
      <c r="D23" s="56" t="s">
        <v>16</v>
      </c>
      <c r="E23" s="56" t="s">
        <v>2048</v>
      </c>
      <c r="F23" s="51" t="s">
        <v>2141</v>
      </c>
      <c r="G23" s="2"/>
    </row>
    <row r="24" spans="1:7" ht="15.75" customHeight="1">
      <c r="A24" s="55">
        <v>20</v>
      </c>
      <c r="B24" s="51" t="str">
        <f>HYPERLINK("https://fujisawatokushukai.jp/department/rheumatism/","Rheumatology Service, Shonan Fujisawa Tokushukai Hospital")</f>
        <v>Rheumatology Service, Shonan Fujisawa Tokushukai Hospital</v>
      </c>
      <c r="C24" s="56" t="s">
        <v>15</v>
      </c>
      <c r="D24" s="56" t="s">
        <v>110</v>
      </c>
      <c r="E24" s="56" t="s">
        <v>2106</v>
      </c>
      <c r="F24" s="51" t="s">
        <v>2142</v>
      </c>
      <c r="G24" s="2"/>
    </row>
    <row r="25" spans="1:7" ht="15.75" customHeight="1">
      <c r="A25" s="55">
        <v>21</v>
      </c>
      <c r="B25" s="51" t="str">
        <f>HYPERLINK("https://mjh.or.kr/infant/health/class/immunodeficiency-disease.do","Immunodeficiency, Myongji Hospital")</f>
        <v>Immunodeficiency, Myongji Hospital</v>
      </c>
      <c r="C25" s="56" t="s">
        <v>15</v>
      </c>
      <c r="D25" s="56" t="s">
        <v>344</v>
      </c>
      <c r="E25" s="56" t="s">
        <v>2132</v>
      </c>
      <c r="F25" s="51" t="s">
        <v>2143</v>
      </c>
      <c r="G25" s="2"/>
    </row>
    <row r="26" spans="1:7" ht="15.75" customHeight="1">
      <c r="A26" s="55">
        <v>22</v>
      </c>
      <c r="B26" s="51" t="str">
        <f>HYPERLINK("https://bundang.chamc.co.kr/medical/department/PulmonologyAllergy/newsView.cha?bidx=677&amp;bbs=0&amp;rownum=10&amp;part=PLMD&amp;page=1","Respiratory Allergy Department, CHA Bundang Women Medical Center")</f>
        <v>Respiratory Allergy Department, CHA Bundang Women Medical Center</v>
      </c>
      <c r="C26" s="56" t="s">
        <v>15</v>
      </c>
      <c r="D26" s="56" t="s">
        <v>344</v>
      </c>
      <c r="E26" s="56" t="s">
        <v>1447</v>
      </c>
      <c r="F26" s="51" t="s">
        <v>2144</v>
      </c>
      <c r="G26" s="2"/>
    </row>
    <row r="27" spans="1:7" ht="15.75" customHeight="1">
      <c r="A27" s="55">
        <v>23</v>
      </c>
      <c r="B27" s="51" t="str">
        <f>HYPERLINK("https://www.amc.seoul.kr/asan/healthinfo/disease/diseaseDetail.do?contentId=31815&amp;tabIndex=1","Seoul Asan Medical Center")</f>
        <v>Seoul Asan Medical Center</v>
      </c>
      <c r="C27" s="56" t="s">
        <v>15</v>
      </c>
      <c r="D27" s="56" t="s">
        <v>344</v>
      </c>
      <c r="E27" s="56" t="s">
        <v>2132</v>
      </c>
      <c r="F27" s="51" t="s">
        <v>2145</v>
      </c>
      <c r="G27" s="2"/>
    </row>
    <row r="28" spans="1:7" ht="15.75" customHeight="1">
      <c r="A28" s="55">
        <v>24</v>
      </c>
      <c r="B28" s="51" t="str">
        <f>HYPERLINK("https://www.clinicaderma-alergia.com/inmunodeficiencia","Dermatology and Allergy Clinic")</f>
        <v>Dermatology and Allergy Clinic</v>
      </c>
      <c r="C28" s="56" t="s">
        <v>15</v>
      </c>
      <c r="D28" s="56" t="s">
        <v>107</v>
      </c>
      <c r="E28" s="56" t="s">
        <v>2106</v>
      </c>
      <c r="F28" s="51" t="s">
        <v>2146</v>
      </c>
      <c r="G28" s="2"/>
    </row>
    <row r="29" spans="1:7" ht="15.75" customHeight="1">
      <c r="A29" s="55">
        <v>25</v>
      </c>
      <c r="B29" s="51" t="str">
        <f>HYPERLINK("https://www.allergycliniclondon.co.uk/allergy-specialist-london/immunology/","London Allergy and Immunology Centre")</f>
        <v>London Allergy and Immunology Centre</v>
      </c>
      <c r="C29" s="56" t="s">
        <v>15</v>
      </c>
      <c r="D29" s="56" t="s">
        <v>17</v>
      </c>
      <c r="E29" s="56" t="s">
        <v>2046</v>
      </c>
      <c r="F29" s="51" t="s">
        <v>2147</v>
      </c>
      <c r="G29" s="2"/>
    </row>
    <row r="30" spans="1:7" ht="15.75" customHeight="1">
      <c r="A30" s="55">
        <v>26</v>
      </c>
      <c r="B30" s="51" t="str">
        <f>HYPERLINK("https://www.londonallergyclinic.com/what-we-do/conditions-treated","The London Allergy Clinic")</f>
        <v>The London Allergy Clinic</v>
      </c>
      <c r="C30" s="56" t="s">
        <v>15</v>
      </c>
      <c r="D30" s="56" t="s">
        <v>17</v>
      </c>
      <c r="E30" s="56" t="s">
        <v>2067</v>
      </c>
      <c r="F30" s="51" t="s">
        <v>2148</v>
      </c>
      <c r="G30" s="2"/>
    </row>
    <row r="31" spans="1:7" ht="15.75" customHeight="1">
      <c r="A31" s="55">
        <v>27</v>
      </c>
      <c r="B31" s="51" t="str">
        <f>HYPERLINK("https://allergy.wustl.edu/patient-care/specialty-clinics/pid/","Adult Primary Immunodeficiency Clinic, Washington University in St. Louis")</f>
        <v>Adult Primary Immunodeficiency Clinic, Washington University in St. Louis</v>
      </c>
      <c r="C31" s="56" t="s">
        <v>15</v>
      </c>
      <c r="D31" s="56" t="s">
        <v>18</v>
      </c>
      <c r="E31" s="56" t="s">
        <v>2106</v>
      </c>
      <c r="F31" s="51" t="s">
        <v>2149</v>
      </c>
      <c r="G31" s="2"/>
    </row>
    <row r="32" spans="1:7" ht="15.75" customHeight="1">
      <c r="A32" s="55">
        <v>28</v>
      </c>
      <c r="B32" s="51" t="str">
        <f>HYPERLINK("https://www.carolinaasthma.com/primary-immunodeficiency-diseases/","Carolina Asthma &amp; Allergy Center")</f>
        <v>Carolina Asthma &amp; Allergy Center</v>
      </c>
      <c r="C32" s="56" t="s">
        <v>15</v>
      </c>
      <c r="D32" s="56" t="s">
        <v>18</v>
      </c>
      <c r="E32" s="56" t="s">
        <v>2150</v>
      </c>
      <c r="F32" s="51" t="s">
        <v>2151</v>
      </c>
      <c r="G32" s="2"/>
    </row>
    <row r="33" spans="1:7" ht="15.75" customHeight="1">
      <c r="A33" s="55">
        <v>29</v>
      </c>
      <c r="B33" s="51" t="str">
        <f>HYPERLINK("https://my.clevelandclinic.org/services/immunodeficiency-treatment#featured-provider-panel","Cleveland Clinic")</f>
        <v>Cleveland Clinic</v>
      </c>
      <c r="C33" s="56" t="s">
        <v>15</v>
      </c>
      <c r="D33" s="56" t="s">
        <v>18</v>
      </c>
      <c r="E33" s="56" t="s">
        <v>2067</v>
      </c>
      <c r="F33" s="51" t="s">
        <v>2152</v>
      </c>
      <c r="G33" s="2"/>
    </row>
    <row r="34" spans="1:7" ht="15.75" customHeight="1">
      <c r="A34" s="55">
        <v>30</v>
      </c>
      <c r="B34" s="51" t="str">
        <f>HYPERLINK("https://www.chp.edu/our-services/allergy-immunology/services-centers/primary-immunodeficiency-clinic","Inborn Errors of Immunity Clinic, UPMC Children’s Hospital of Pittsburgh")</f>
        <v>Inborn Errors of Immunity Clinic, UPMC Children’s Hospital of Pittsburgh</v>
      </c>
      <c r="C34" s="56" t="s">
        <v>15</v>
      </c>
      <c r="D34" s="56" t="s">
        <v>18</v>
      </c>
      <c r="E34" s="56" t="s">
        <v>2106</v>
      </c>
      <c r="F34" s="51" t="s">
        <v>2153</v>
      </c>
      <c r="G34" s="2"/>
    </row>
    <row r="35" spans="1:7" ht="15.75" customHeight="1">
      <c r="A35" s="55">
        <v>31</v>
      </c>
      <c r="B35" s="51" t="str">
        <f>HYPERLINK("https://www.mariafarerichildrens.org/pulmonology-allergy-and-sleep-medicine","Maria Fareri Children’s Hospital")</f>
        <v>Maria Fareri Children’s Hospital</v>
      </c>
      <c r="C35" s="56" t="s">
        <v>15</v>
      </c>
      <c r="D35" s="56" t="s">
        <v>18</v>
      </c>
      <c r="E35" s="56" t="s">
        <v>2154</v>
      </c>
      <c r="F35" s="51" t="s">
        <v>2155</v>
      </c>
      <c r="G35" s="2"/>
    </row>
  </sheetData>
  <autoFilter ref="A4:G35"/>
  <mergeCells count="2">
    <mergeCell ref="A1:G1"/>
    <mergeCell ref="A2:G3"/>
  </mergeCells>
  <hyperlinks>
    <hyperlink ref="F6" r:id="rId1"/>
    <hyperlink ref="F7" r:id="rId2"/>
    <hyperlink ref="F8" r:id="rId3"/>
    <hyperlink ref="F9" r:id="rId4"/>
    <hyperlink ref="F10" r:id="rId5"/>
    <hyperlink ref="F12" r:id="rId6"/>
    <hyperlink ref="F13" r:id="rId7"/>
    <hyperlink ref="F14" r:id="rId8"/>
    <hyperlink ref="F20" r:id="rId9"/>
    <hyperlink ref="F21" r:id="rId10"/>
    <hyperlink ref="F29" r:id="rId11"/>
    <hyperlink ref="F30" r:id="rId12"/>
    <hyperlink ref="F31" r:id="rId13"/>
    <hyperlink ref="F32" r:id="rId14"/>
    <hyperlink ref="F33" r:id="rId15" location="featured-provider-panel"/>
    <hyperlink ref="F34" r:id="rId16"/>
    <hyperlink ref="F35" r:id="rId17"/>
    <hyperlink ref="F5" r:id="rId18"/>
    <hyperlink ref="F11" r:id="rId19"/>
    <hyperlink ref="F15" r:id="rId20"/>
    <hyperlink ref="F16" r:id="rId21"/>
    <hyperlink ref="F17" r:id="rId22"/>
    <hyperlink ref="F18" r:id="rId23"/>
    <hyperlink ref="F19" r:id="rId24"/>
    <hyperlink ref="F22" r:id="rId25"/>
    <hyperlink ref="F23" r:id="rId26" location="equipe"/>
    <hyperlink ref="F24" r:id="rId27"/>
    <hyperlink ref="F25" r:id="rId28"/>
    <hyperlink ref="F26" r:id="rId29"/>
    <hyperlink ref="F27" r:id="rId30"/>
    <hyperlink ref="F28" r:id="rId31"/>
  </hyperlinks>
  <pageMargins left="0.7" right="0.7" top="0.75" bottom="0.75" header="0.3" footer="0.3"/>
  <pageSetup orientation="portrait" r:id="rId3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sheetPr>
  <dimension ref="A1:F125"/>
  <sheetViews>
    <sheetView showGridLines="0" workbookViewId="0">
      <pane xSplit="2" ySplit="6" topLeftCell="C7" activePane="bottomRight" state="frozen"/>
      <selection activeCell="C5" sqref="C5"/>
      <selection pane="topRight" activeCell="C5" sqref="C5"/>
      <selection pane="bottomLeft" activeCell="C5" sqref="C5"/>
      <selection pane="bottomRight" activeCell="C7" sqref="C7"/>
    </sheetView>
  </sheetViews>
  <sheetFormatPr defaultColWidth="8.85546875" defaultRowHeight="15" customHeight="1"/>
  <cols>
    <col min="1" max="1" width="6.140625" style="1" customWidth="1"/>
    <col min="2" max="5" width="33" style="8" customWidth="1"/>
    <col min="6" max="6" width="28.85546875" style="8" customWidth="1"/>
    <col min="7" max="16384" width="8.85546875" style="8"/>
  </cols>
  <sheetData>
    <row r="1" spans="1:6" s="1" customFormat="1" ht="25.35" customHeight="1">
      <c r="A1" s="91" t="s">
        <v>0</v>
      </c>
      <c r="B1" s="91"/>
      <c r="C1" s="91"/>
      <c r="D1" s="91"/>
      <c r="E1" s="91"/>
      <c r="F1" s="91"/>
    </row>
    <row r="2" spans="1:6" s="1" customFormat="1" ht="15" customHeight="1">
      <c r="A2" s="92" t="s">
        <v>44</v>
      </c>
      <c r="B2" s="92"/>
      <c r="C2" s="92"/>
      <c r="D2" s="92"/>
      <c r="E2" s="92"/>
      <c r="F2" s="92"/>
    </row>
    <row r="3" spans="1:6" s="1" customFormat="1" ht="15" customHeight="1">
      <c r="A3" s="92"/>
      <c r="B3" s="92"/>
      <c r="C3" s="92"/>
      <c r="D3" s="92"/>
      <c r="E3" s="92"/>
      <c r="F3" s="92"/>
    </row>
    <row r="4" spans="1:6" s="1" customFormat="1" ht="15" customHeight="1">
      <c r="A4" s="93" t="s">
        <v>45</v>
      </c>
      <c r="B4" s="93"/>
      <c r="C4" s="93"/>
      <c r="D4" s="93"/>
      <c r="E4" s="93"/>
      <c r="F4" s="93"/>
    </row>
    <row r="5" spans="1:6" s="1" customFormat="1" ht="15.75" customHeight="1">
      <c r="A5" s="94" t="s">
        <v>46</v>
      </c>
      <c r="B5" s="96" t="s">
        <v>1245</v>
      </c>
      <c r="C5" s="97"/>
      <c r="D5" s="97"/>
      <c r="E5" s="97"/>
      <c r="F5" s="13"/>
    </row>
    <row r="6" spans="1:6" s="1" customFormat="1" ht="28.5" customHeight="1">
      <c r="A6" s="95"/>
      <c r="B6" s="14" t="s">
        <v>1246</v>
      </c>
      <c r="C6" s="19" t="s">
        <v>73</v>
      </c>
      <c r="D6" s="19" t="s">
        <v>74</v>
      </c>
      <c r="E6" s="19" t="s">
        <v>75</v>
      </c>
      <c r="F6" s="19" t="s">
        <v>47</v>
      </c>
    </row>
    <row r="7" spans="1:6" ht="15.95" customHeight="1">
      <c r="A7" s="15">
        <v>1</v>
      </c>
      <c r="B7" s="16" t="s">
        <v>1247</v>
      </c>
      <c r="C7" s="16" t="s">
        <v>1248</v>
      </c>
      <c r="D7" s="16" t="s">
        <v>1249</v>
      </c>
      <c r="E7" s="16" t="s">
        <v>1250</v>
      </c>
      <c r="F7" s="12" t="s">
        <v>1251</v>
      </c>
    </row>
    <row r="8" spans="1:6" ht="15.95" customHeight="1">
      <c r="A8" s="15">
        <v>2</v>
      </c>
      <c r="B8" s="16" t="s">
        <v>1252</v>
      </c>
      <c r="C8" s="16" t="s">
        <v>1253</v>
      </c>
      <c r="D8" s="16" t="s">
        <v>1254</v>
      </c>
      <c r="E8" s="16" t="s">
        <v>1255</v>
      </c>
      <c r="F8" s="12" t="s">
        <v>1256</v>
      </c>
    </row>
    <row r="9" spans="1:6" ht="15.95" customHeight="1">
      <c r="A9" s="15">
        <v>3</v>
      </c>
      <c r="B9" s="16" t="s">
        <v>1257</v>
      </c>
      <c r="C9" s="16" t="s">
        <v>1258</v>
      </c>
      <c r="D9" s="16" t="s">
        <v>1259</v>
      </c>
      <c r="E9" s="16" t="s">
        <v>1260</v>
      </c>
      <c r="F9" s="12" t="s">
        <v>1261</v>
      </c>
    </row>
    <row r="10" spans="1:6" ht="15.95" customHeight="1">
      <c r="A10" s="15">
        <v>4</v>
      </c>
      <c r="B10" s="16" t="s">
        <v>2019</v>
      </c>
      <c r="C10" s="16" t="s">
        <v>1262</v>
      </c>
      <c r="D10" s="16" t="s">
        <v>1263</v>
      </c>
      <c r="E10" s="16" t="s">
        <v>1264</v>
      </c>
      <c r="F10" s="12" t="s">
        <v>48</v>
      </c>
    </row>
    <row r="11" spans="1:6" ht="15.95" customHeight="1">
      <c r="A11" s="15">
        <v>5</v>
      </c>
      <c r="B11" s="16" t="s">
        <v>1265</v>
      </c>
      <c r="C11" s="16" t="s">
        <v>1266</v>
      </c>
      <c r="D11" s="16" t="s">
        <v>1267</v>
      </c>
      <c r="E11" s="16" t="s">
        <v>1268</v>
      </c>
      <c r="F11" s="12" t="s">
        <v>81</v>
      </c>
    </row>
    <row r="12" spans="1:6" ht="15.95" customHeight="1">
      <c r="A12" s="15">
        <v>6</v>
      </c>
      <c r="B12" s="16" t="s">
        <v>1269</v>
      </c>
      <c r="C12" s="16" t="s">
        <v>1270</v>
      </c>
      <c r="D12" s="16" t="s">
        <v>1271</v>
      </c>
      <c r="E12" s="16" t="s">
        <v>1272</v>
      </c>
      <c r="F12" s="12" t="s">
        <v>82</v>
      </c>
    </row>
    <row r="13" spans="1:6" ht="15.95" customHeight="1">
      <c r="A13" s="15">
        <v>7</v>
      </c>
      <c r="B13" s="16" t="s">
        <v>1273</v>
      </c>
      <c r="C13" s="16" t="s">
        <v>1274</v>
      </c>
      <c r="D13" s="16" t="s">
        <v>1275</v>
      </c>
      <c r="E13" s="16" t="s">
        <v>1276</v>
      </c>
      <c r="F13" s="12" t="s">
        <v>1277</v>
      </c>
    </row>
    <row r="14" spans="1:6" ht="15.95" customHeight="1">
      <c r="A14" s="15">
        <v>8</v>
      </c>
      <c r="B14" s="16" t="s">
        <v>1278</v>
      </c>
      <c r="C14" s="16" t="s">
        <v>1279</v>
      </c>
      <c r="D14" s="16" t="s">
        <v>1280</v>
      </c>
      <c r="E14" s="16" t="s">
        <v>1281</v>
      </c>
      <c r="F14" s="12" t="s">
        <v>49</v>
      </c>
    </row>
    <row r="15" spans="1:6" ht="15.95" customHeight="1">
      <c r="A15" s="15">
        <v>9</v>
      </c>
      <c r="B15" s="16" t="s">
        <v>1282</v>
      </c>
      <c r="C15" s="16" t="s">
        <v>1283</v>
      </c>
      <c r="D15" s="16" t="s">
        <v>1284</v>
      </c>
      <c r="E15" s="16" t="s">
        <v>1285</v>
      </c>
      <c r="F15" s="12" t="s">
        <v>83</v>
      </c>
    </row>
    <row r="16" spans="1:6" ht="15.95" customHeight="1">
      <c r="A16" s="15">
        <v>10</v>
      </c>
      <c r="B16" s="16" t="s">
        <v>1286</v>
      </c>
      <c r="C16" s="16" t="s">
        <v>1287</v>
      </c>
      <c r="D16" s="16" t="s">
        <v>1288</v>
      </c>
      <c r="E16" s="16" t="s">
        <v>1289</v>
      </c>
      <c r="F16" s="12" t="s">
        <v>76</v>
      </c>
    </row>
    <row r="17" spans="1:6" ht="15.95" customHeight="1">
      <c r="A17" s="15">
        <v>11</v>
      </c>
      <c r="B17" s="16" t="s">
        <v>1290</v>
      </c>
      <c r="C17" s="16" t="s">
        <v>1291</v>
      </c>
      <c r="D17" s="16" t="s">
        <v>1292</v>
      </c>
      <c r="E17" s="16" t="s">
        <v>1293</v>
      </c>
      <c r="F17" s="12" t="s">
        <v>71</v>
      </c>
    </row>
    <row r="18" spans="1:6" ht="15.95" customHeight="1">
      <c r="A18" s="15">
        <v>12</v>
      </c>
      <c r="B18" s="16" t="s">
        <v>1294</v>
      </c>
      <c r="C18" s="16" t="s">
        <v>1295</v>
      </c>
      <c r="D18" s="16" t="s">
        <v>1296</v>
      </c>
      <c r="E18" s="16" t="s">
        <v>1297</v>
      </c>
      <c r="F18" s="12" t="s">
        <v>1298</v>
      </c>
    </row>
    <row r="19" spans="1:6" ht="15.95" customHeight="1">
      <c r="A19" s="15">
        <v>13</v>
      </c>
      <c r="B19" s="16" t="s">
        <v>1299</v>
      </c>
      <c r="C19" s="16" t="s">
        <v>1300</v>
      </c>
      <c r="D19" s="16" t="s">
        <v>1301</v>
      </c>
      <c r="E19" s="16" t="s">
        <v>1302</v>
      </c>
      <c r="F19" s="12" t="s">
        <v>84</v>
      </c>
    </row>
    <row r="20" spans="1:6" ht="15.95" customHeight="1">
      <c r="A20" s="15">
        <v>14</v>
      </c>
      <c r="B20" s="16" t="s">
        <v>1303</v>
      </c>
      <c r="C20" s="16" t="s">
        <v>1304</v>
      </c>
      <c r="D20" s="16" t="s">
        <v>1305</v>
      </c>
      <c r="E20" s="16" t="s">
        <v>1306</v>
      </c>
      <c r="F20" s="12" t="s">
        <v>50</v>
      </c>
    </row>
    <row r="21" spans="1:6" ht="15.95" customHeight="1">
      <c r="A21" s="15">
        <v>15</v>
      </c>
      <c r="B21" s="16" t="s">
        <v>1307</v>
      </c>
      <c r="C21" s="16" t="s">
        <v>1308</v>
      </c>
      <c r="D21" s="16" t="s">
        <v>1309</v>
      </c>
      <c r="E21" s="16"/>
      <c r="F21" s="12" t="s">
        <v>1310</v>
      </c>
    </row>
    <row r="22" spans="1:6" ht="15.95" customHeight="1">
      <c r="A22" s="15">
        <v>16</v>
      </c>
      <c r="B22" s="16" t="s">
        <v>1311</v>
      </c>
      <c r="C22" s="16" t="s">
        <v>1312</v>
      </c>
      <c r="D22" s="16" t="s">
        <v>1313</v>
      </c>
      <c r="E22" s="16"/>
      <c r="F22" s="12" t="s">
        <v>1314</v>
      </c>
    </row>
    <row r="23" spans="1:6" ht="15.95" customHeight="1">
      <c r="A23" s="15">
        <v>17</v>
      </c>
      <c r="B23" s="16" t="s">
        <v>1315</v>
      </c>
      <c r="C23" s="16" t="s">
        <v>1316</v>
      </c>
      <c r="D23" s="16" t="s">
        <v>1317</v>
      </c>
      <c r="E23" s="16"/>
      <c r="F23" s="12" t="s">
        <v>1318</v>
      </c>
    </row>
    <row r="24" spans="1:6" ht="15.95" customHeight="1">
      <c r="A24" s="15">
        <v>18</v>
      </c>
      <c r="B24" s="16" t="s">
        <v>1319</v>
      </c>
      <c r="C24" s="16" t="s">
        <v>1320</v>
      </c>
      <c r="D24" s="16" t="s">
        <v>1321</v>
      </c>
      <c r="E24" s="16"/>
      <c r="F24" s="12" t="s">
        <v>85</v>
      </c>
    </row>
    <row r="25" spans="1:6" ht="15.95" customHeight="1">
      <c r="A25" s="15">
        <v>19</v>
      </c>
      <c r="B25" s="16" t="s">
        <v>1322</v>
      </c>
      <c r="C25" s="16" t="s">
        <v>1323</v>
      </c>
      <c r="D25" s="16" t="s">
        <v>1324</v>
      </c>
      <c r="E25" s="16"/>
      <c r="F25" s="12" t="s">
        <v>1325</v>
      </c>
    </row>
    <row r="26" spans="1:6" ht="15.95" customHeight="1">
      <c r="A26" s="15">
        <v>20</v>
      </c>
      <c r="B26" s="16" t="s">
        <v>1326</v>
      </c>
      <c r="C26" s="16" t="s">
        <v>1327</v>
      </c>
      <c r="D26" s="16" t="s">
        <v>1328</v>
      </c>
      <c r="E26" s="16"/>
      <c r="F26" s="12" t="s">
        <v>51</v>
      </c>
    </row>
    <row r="27" spans="1:6" ht="15.95" customHeight="1">
      <c r="A27" s="15">
        <v>21</v>
      </c>
      <c r="B27" s="16" t="s">
        <v>1329</v>
      </c>
      <c r="C27" s="16" t="s">
        <v>1330</v>
      </c>
      <c r="D27" s="16" t="s">
        <v>1331</v>
      </c>
      <c r="E27" s="16"/>
      <c r="F27" s="12" t="s">
        <v>77</v>
      </c>
    </row>
    <row r="28" spans="1:6" ht="15.95" customHeight="1">
      <c r="A28" s="15">
        <v>22</v>
      </c>
      <c r="B28" s="16" t="s">
        <v>1332</v>
      </c>
      <c r="C28" s="16" t="s">
        <v>1333</v>
      </c>
      <c r="D28" s="16" t="s">
        <v>1334</v>
      </c>
      <c r="E28" s="16"/>
      <c r="F28" s="12" t="s">
        <v>52</v>
      </c>
    </row>
    <row r="29" spans="1:6" ht="15.95" customHeight="1">
      <c r="A29" s="15">
        <v>23</v>
      </c>
      <c r="B29" s="16" t="s">
        <v>1335</v>
      </c>
      <c r="C29" s="16" t="s">
        <v>1336</v>
      </c>
      <c r="D29" s="16" t="s">
        <v>1337</v>
      </c>
      <c r="E29" s="16"/>
      <c r="F29" s="12" t="s">
        <v>53</v>
      </c>
    </row>
    <row r="30" spans="1:6" ht="15.95" customHeight="1">
      <c r="A30" s="15">
        <v>24</v>
      </c>
      <c r="B30" s="16" t="s">
        <v>1338</v>
      </c>
      <c r="C30" s="16" t="s">
        <v>1339</v>
      </c>
      <c r="D30" s="16" t="s">
        <v>1340</v>
      </c>
      <c r="E30" s="16"/>
      <c r="F30" s="12" t="s">
        <v>54</v>
      </c>
    </row>
    <row r="31" spans="1:6" ht="15.95" customHeight="1">
      <c r="A31" s="15">
        <v>25</v>
      </c>
      <c r="B31" s="16" t="s">
        <v>1341</v>
      </c>
      <c r="C31" s="16" t="s">
        <v>1342</v>
      </c>
      <c r="D31" s="16" t="s">
        <v>1343</v>
      </c>
      <c r="E31" s="16"/>
      <c r="F31" s="12" t="s">
        <v>1344</v>
      </c>
    </row>
    <row r="32" spans="1:6" ht="15.95" customHeight="1">
      <c r="A32" s="15">
        <v>26</v>
      </c>
      <c r="B32" s="16" t="s">
        <v>1345</v>
      </c>
      <c r="C32" s="16" t="s">
        <v>1346</v>
      </c>
      <c r="D32" s="16" t="s">
        <v>1347</v>
      </c>
      <c r="E32" s="16"/>
      <c r="F32" s="12" t="s">
        <v>1348</v>
      </c>
    </row>
    <row r="33" spans="1:6" ht="15.95" customHeight="1">
      <c r="A33" s="15">
        <v>27</v>
      </c>
      <c r="B33" s="16" t="s">
        <v>1349</v>
      </c>
      <c r="C33" s="16" t="s">
        <v>1350</v>
      </c>
      <c r="D33" s="16" t="s">
        <v>1351</v>
      </c>
      <c r="E33" s="16"/>
      <c r="F33" s="12" t="s">
        <v>1352</v>
      </c>
    </row>
    <row r="34" spans="1:6" ht="15.95" customHeight="1">
      <c r="A34" s="15">
        <v>28</v>
      </c>
      <c r="B34" s="16" t="s">
        <v>1353</v>
      </c>
      <c r="C34" s="16" t="s">
        <v>1354</v>
      </c>
      <c r="D34" s="16" t="s">
        <v>1355</v>
      </c>
      <c r="E34" s="16"/>
      <c r="F34" s="12" t="s">
        <v>1356</v>
      </c>
    </row>
    <row r="35" spans="1:6" ht="15.95" customHeight="1">
      <c r="A35" s="15">
        <v>29</v>
      </c>
      <c r="B35" s="16" t="s">
        <v>1357</v>
      </c>
      <c r="C35" s="16" t="s">
        <v>1358</v>
      </c>
      <c r="D35" s="16"/>
      <c r="E35" s="16"/>
      <c r="F35" s="12" t="s">
        <v>1359</v>
      </c>
    </row>
    <row r="36" spans="1:6" ht="15.95" customHeight="1">
      <c r="A36" s="15">
        <v>30</v>
      </c>
      <c r="B36" s="16" t="s">
        <v>1360</v>
      </c>
      <c r="C36" s="16" t="s">
        <v>1361</v>
      </c>
      <c r="D36" s="16"/>
      <c r="E36" s="16"/>
      <c r="F36" s="12" t="s">
        <v>78</v>
      </c>
    </row>
    <row r="37" spans="1:6" ht="15.95" customHeight="1">
      <c r="A37" s="15">
        <v>31</v>
      </c>
      <c r="B37" s="16" t="s">
        <v>1362</v>
      </c>
      <c r="C37" s="16" t="s">
        <v>1363</v>
      </c>
      <c r="D37" s="16"/>
      <c r="E37" s="16"/>
      <c r="F37" s="12" t="s">
        <v>79</v>
      </c>
    </row>
    <row r="38" spans="1:6" ht="15.95" customHeight="1">
      <c r="A38" s="15">
        <v>32</v>
      </c>
      <c r="B38" s="16" t="s">
        <v>1364</v>
      </c>
      <c r="C38" s="16" t="s">
        <v>1365</v>
      </c>
      <c r="D38" s="16"/>
      <c r="E38" s="16"/>
      <c r="F38" s="12" t="s">
        <v>55</v>
      </c>
    </row>
    <row r="39" spans="1:6" ht="15.95" customHeight="1">
      <c r="A39" s="15">
        <v>33</v>
      </c>
      <c r="B39" s="16" t="s">
        <v>1366</v>
      </c>
      <c r="C39" s="16" t="s">
        <v>1367</v>
      </c>
      <c r="D39" s="16"/>
      <c r="E39" s="16"/>
      <c r="F39" s="12" t="s">
        <v>56</v>
      </c>
    </row>
    <row r="40" spans="1:6" ht="15.95" customHeight="1">
      <c r="A40" s="15">
        <v>34</v>
      </c>
      <c r="B40" s="16" t="s">
        <v>1368</v>
      </c>
      <c r="C40" s="16" t="s">
        <v>1369</v>
      </c>
      <c r="D40" s="16"/>
      <c r="E40" s="16"/>
      <c r="F40" s="12" t="s">
        <v>57</v>
      </c>
    </row>
    <row r="41" spans="1:6" ht="15.95" customHeight="1">
      <c r="A41" s="15">
        <v>35</v>
      </c>
      <c r="B41" s="16" t="s">
        <v>1370</v>
      </c>
      <c r="C41" s="16" t="s">
        <v>1371</v>
      </c>
      <c r="D41" s="16"/>
      <c r="E41" s="16"/>
      <c r="F41" s="12" t="s">
        <v>58</v>
      </c>
    </row>
    <row r="42" spans="1:6" ht="15.95" customHeight="1">
      <c r="A42" s="15">
        <v>36</v>
      </c>
      <c r="B42" s="16" t="s">
        <v>1372</v>
      </c>
      <c r="C42" s="16" t="s">
        <v>1373</v>
      </c>
      <c r="D42" s="16"/>
      <c r="E42" s="16"/>
      <c r="F42" s="12" t="s">
        <v>1374</v>
      </c>
    </row>
    <row r="43" spans="1:6" ht="15.95" customHeight="1">
      <c r="A43" s="15">
        <v>37</v>
      </c>
      <c r="B43" s="16" t="s">
        <v>1375</v>
      </c>
      <c r="C43" s="16" t="s">
        <v>1376</v>
      </c>
      <c r="D43" s="16"/>
      <c r="E43" s="16"/>
      <c r="F43" s="12" t="s">
        <v>1377</v>
      </c>
    </row>
    <row r="44" spans="1:6" ht="15.95" customHeight="1">
      <c r="A44" s="15">
        <v>38</v>
      </c>
      <c r="B44" s="16" t="s">
        <v>1378</v>
      </c>
      <c r="C44" s="16" t="s">
        <v>1379</v>
      </c>
      <c r="D44" s="16"/>
      <c r="E44" s="16"/>
      <c r="F44" s="12" t="s">
        <v>1380</v>
      </c>
    </row>
    <row r="45" spans="1:6" ht="15.95" customHeight="1">
      <c r="A45" s="15">
        <v>39</v>
      </c>
      <c r="B45" s="16" t="s">
        <v>1381</v>
      </c>
      <c r="C45" s="16" t="s">
        <v>1382</v>
      </c>
      <c r="D45" s="16"/>
      <c r="E45" s="16"/>
      <c r="F45" s="12" t="s">
        <v>1383</v>
      </c>
    </row>
    <row r="46" spans="1:6" ht="15.95" customHeight="1">
      <c r="A46" s="15">
        <v>40</v>
      </c>
      <c r="B46" s="16" t="s">
        <v>1384</v>
      </c>
      <c r="C46" s="16" t="s">
        <v>1385</v>
      </c>
      <c r="D46" s="16"/>
      <c r="E46" s="16"/>
      <c r="F46" s="12" t="s">
        <v>59</v>
      </c>
    </row>
    <row r="47" spans="1:6" ht="15.95" customHeight="1">
      <c r="A47" s="15">
        <v>41</v>
      </c>
      <c r="B47" s="16" t="s">
        <v>1386</v>
      </c>
      <c r="C47" s="16" t="s">
        <v>1387</v>
      </c>
      <c r="D47" s="16"/>
      <c r="E47" s="16"/>
      <c r="F47" s="12" t="s">
        <v>1388</v>
      </c>
    </row>
    <row r="48" spans="1:6" ht="15.95" customHeight="1">
      <c r="A48" s="15">
        <v>42</v>
      </c>
      <c r="B48" s="16" t="s">
        <v>1389</v>
      </c>
      <c r="C48" s="16" t="s">
        <v>1390</v>
      </c>
      <c r="D48" s="16"/>
      <c r="E48" s="16"/>
      <c r="F48" s="12" t="s">
        <v>1391</v>
      </c>
    </row>
    <row r="49" spans="1:6" ht="15.95" customHeight="1">
      <c r="A49" s="15">
        <v>43</v>
      </c>
      <c r="B49" s="16" t="s">
        <v>1392</v>
      </c>
      <c r="C49" s="16" t="s">
        <v>1393</v>
      </c>
      <c r="D49" s="16"/>
      <c r="E49" s="16"/>
      <c r="F49" s="12" t="s">
        <v>1394</v>
      </c>
    </row>
    <row r="50" spans="1:6" ht="15.95" customHeight="1">
      <c r="A50" s="15">
        <v>44</v>
      </c>
      <c r="B50" s="16" t="s">
        <v>1395</v>
      </c>
      <c r="C50" s="16" t="s">
        <v>1396</v>
      </c>
      <c r="D50" s="16"/>
      <c r="E50" s="16"/>
      <c r="F50" s="12" t="s">
        <v>1397</v>
      </c>
    </row>
    <row r="51" spans="1:6" ht="15.95" customHeight="1">
      <c r="A51" s="15">
        <v>45</v>
      </c>
      <c r="B51" s="16" t="s">
        <v>1398</v>
      </c>
      <c r="C51" s="16" t="s">
        <v>1399</v>
      </c>
      <c r="D51" s="16"/>
      <c r="E51" s="16"/>
      <c r="F51" s="12" t="s">
        <v>1400</v>
      </c>
    </row>
    <row r="52" spans="1:6" ht="15.95" customHeight="1">
      <c r="A52" s="15">
        <v>46</v>
      </c>
      <c r="B52" s="16" t="s">
        <v>1401</v>
      </c>
      <c r="C52" s="16" t="s">
        <v>1402</v>
      </c>
      <c r="D52" s="16"/>
      <c r="E52" s="16"/>
      <c r="F52" s="12" t="s">
        <v>1403</v>
      </c>
    </row>
    <row r="53" spans="1:6" ht="15.95" customHeight="1">
      <c r="A53" s="15">
        <v>47</v>
      </c>
      <c r="B53" s="16" t="s">
        <v>1404</v>
      </c>
      <c r="C53" s="16" t="s">
        <v>1405</v>
      </c>
      <c r="D53" s="16"/>
      <c r="E53" s="16"/>
      <c r="F53" s="12" t="s">
        <v>60</v>
      </c>
    </row>
    <row r="54" spans="1:6" ht="15.95" customHeight="1">
      <c r="A54" s="15">
        <v>48</v>
      </c>
      <c r="B54" s="16" t="s">
        <v>1406</v>
      </c>
      <c r="C54" s="16" t="s">
        <v>1407</v>
      </c>
      <c r="D54" s="16"/>
      <c r="E54" s="16"/>
      <c r="F54" s="12" t="s">
        <v>1408</v>
      </c>
    </row>
    <row r="55" spans="1:6" ht="15.95" customHeight="1">
      <c r="A55" s="15">
        <v>49</v>
      </c>
      <c r="B55" s="16" t="s">
        <v>1409</v>
      </c>
      <c r="C55" s="16" t="s">
        <v>1410</v>
      </c>
      <c r="D55" s="16"/>
      <c r="E55" s="16"/>
      <c r="F55" s="12" t="s">
        <v>61</v>
      </c>
    </row>
    <row r="56" spans="1:6" ht="15.95" customHeight="1">
      <c r="A56" s="15">
        <v>50</v>
      </c>
      <c r="B56" s="16" t="s">
        <v>1411</v>
      </c>
      <c r="C56" s="16" t="s">
        <v>1412</v>
      </c>
      <c r="D56" s="16"/>
      <c r="E56" s="16"/>
      <c r="F56" s="12" t="s">
        <v>1413</v>
      </c>
    </row>
    <row r="57" spans="1:6" ht="15.95" customHeight="1">
      <c r="A57" s="15">
        <v>51</v>
      </c>
      <c r="B57" s="16" t="s">
        <v>1414</v>
      </c>
      <c r="C57" s="16" t="s">
        <v>1415</v>
      </c>
      <c r="D57" s="16"/>
      <c r="E57" s="16"/>
      <c r="F57" s="12" t="s">
        <v>62</v>
      </c>
    </row>
    <row r="58" spans="1:6" ht="15.95" customHeight="1">
      <c r="A58" s="15">
        <v>52</v>
      </c>
      <c r="B58" s="16" t="s">
        <v>1416</v>
      </c>
      <c r="C58" s="16" t="s">
        <v>1417</v>
      </c>
      <c r="D58" s="16"/>
      <c r="E58" s="16"/>
      <c r="F58" s="12" t="s">
        <v>63</v>
      </c>
    </row>
    <row r="59" spans="1:6" ht="15.95" customHeight="1">
      <c r="A59" s="15">
        <v>53</v>
      </c>
      <c r="B59" s="16" t="s">
        <v>1418</v>
      </c>
      <c r="C59" s="16" t="s">
        <v>1419</v>
      </c>
      <c r="D59" s="16"/>
      <c r="E59" s="16"/>
      <c r="F59" s="12" t="s">
        <v>1420</v>
      </c>
    </row>
    <row r="60" spans="1:6" ht="15.95" customHeight="1">
      <c r="A60" s="15">
        <v>54</v>
      </c>
      <c r="B60" s="16" t="s">
        <v>1421</v>
      </c>
      <c r="C60" s="16" t="s">
        <v>1422</v>
      </c>
      <c r="D60" s="16"/>
      <c r="E60" s="16"/>
      <c r="F60" s="12" t="s">
        <v>1423</v>
      </c>
    </row>
    <row r="61" spans="1:6" ht="15.95" customHeight="1">
      <c r="A61" s="15">
        <v>55</v>
      </c>
      <c r="B61" s="16" t="s">
        <v>1424</v>
      </c>
      <c r="C61" s="16" t="s">
        <v>1425</v>
      </c>
      <c r="D61" s="16"/>
      <c r="E61" s="16"/>
      <c r="F61" s="12" t="s">
        <v>1426</v>
      </c>
    </row>
    <row r="62" spans="1:6" ht="15.95" customHeight="1">
      <c r="A62" s="15">
        <v>56</v>
      </c>
      <c r="B62" s="16" t="s">
        <v>1427</v>
      </c>
      <c r="C62" s="16" t="s">
        <v>1428</v>
      </c>
      <c r="D62" s="16"/>
      <c r="E62" s="16"/>
      <c r="F62" s="12" t="s">
        <v>64</v>
      </c>
    </row>
    <row r="63" spans="1:6" ht="15.95" customHeight="1">
      <c r="A63" s="15">
        <v>57</v>
      </c>
      <c r="B63" s="16" t="s">
        <v>1429</v>
      </c>
      <c r="C63" s="16" t="s">
        <v>1430</v>
      </c>
      <c r="D63" s="16"/>
      <c r="E63" s="16"/>
      <c r="F63" s="12" t="s">
        <v>1431</v>
      </c>
    </row>
    <row r="64" spans="1:6" ht="15.95" customHeight="1">
      <c r="A64" s="15">
        <v>58</v>
      </c>
      <c r="B64" s="16" t="s">
        <v>1432</v>
      </c>
      <c r="C64" s="16" t="s">
        <v>1433</v>
      </c>
      <c r="D64" s="16"/>
      <c r="E64" s="16"/>
      <c r="F64" s="12" t="s">
        <v>1434</v>
      </c>
    </row>
    <row r="65" spans="1:6" ht="15.95" customHeight="1">
      <c r="A65" s="15">
        <v>59</v>
      </c>
      <c r="B65" s="16" t="s">
        <v>1435</v>
      </c>
      <c r="C65" s="16" t="s">
        <v>1436</v>
      </c>
      <c r="D65" s="16"/>
      <c r="E65" s="16"/>
      <c r="F65" s="12" t="s">
        <v>1437</v>
      </c>
    </row>
    <row r="66" spans="1:6" ht="15.95" customHeight="1">
      <c r="A66" s="15">
        <v>60</v>
      </c>
      <c r="B66" s="16" t="s">
        <v>1438</v>
      </c>
      <c r="C66" s="16" t="s">
        <v>1439</v>
      </c>
      <c r="D66" s="16"/>
      <c r="E66" s="16"/>
      <c r="F66" s="12" t="s">
        <v>65</v>
      </c>
    </row>
    <row r="67" spans="1:6" ht="15.95" customHeight="1">
      <c r="A67" s="15">
        <v>61</v>
      </c>
      <c r="B67" s="16" t="s">
        <v>1440</v>
      </c>
      <c r="C67" s="16" t="s">
        <v>1441</v>
      </c>
      <c r="D67" s="16"/>
      <c r="E67" s="16"/>
      <c r="F67" s="12" t="s">
        <v>66</v>
      </c>
    </row>
    <row r="68" spans="1:6" ht="15.95" customHeight="1">
      <c r="A68" s="15">
        <v>62</v>
      </c>
      <c r="B68" s="16" t="s">
        <v>1442</v>
      </c>
      <c r="C68" s="16" t="s">
        <v>1443</v>
      </c>
      <c r="D68" s="16"/>
      <c r="E68" s="16"/>
      <c r="F68" s="12" t="s">
        <v>80</v>
      </c>
    </row>
    <row r="69" spans="1:6" ht="15.95" customHeight="1">
      <c r="A69" s="15">
        <v>63</v>
      </c>
      <c r="B69" s="16" t="s">
        <v>2037</v>
      </c>
      <c r="C69" s="16" t="s">
        <v>1445</v>
      </c>
      <c r="D69" s="16"/>
      <c r="E69" s="16"/>
      <c r="F69" s="12" t="s">
        <v>1446</v>
      </c>
    </row>
    <row r="70" spans="1:6" ht="15.95" customHeight="1">
      <c r="A70" s="15">
        <v>64</v>
      </c>
      <c r="B70" s="16" t="s">
        <v>2038</v>
      </c>
      <c r="C70" s="16" t="s">
        <v>1448</v>
      </c>
      <c r="D70" s="16"/>
      <c r="E70" s="16"/>
      <c r="F70" s="12" t="s">
        <v>1449</v>
      </c>
    </row>
    <row r="71" spans="1:6" ht="15.95" customHeight="1">
      <c r="A71" s="15">
        <v>65</v>
      </c>
      <c r="B71" s="16" t="s">
        <v>1444</v>
      </c>
      <c r="C71" s="16" t="s">
        <v>1451</v>
      </c>
      <c r="D71" s="16"/>
      <c r="E71" s="16"/>
      <c r="F71" s="12" t="s">
        <v>1452</v>
      </c>
    </row>
    <row r="72" spans="1:6" ht="15.95" customHeight="1">
      <c r="A72" s="15">
        <v>66</v>
      </c>
      <c r="B72" s="16" t="s">
        <v>1447</v>
      </c>
      <c r="C72" s="16" t="s">
        <v>1454</v>
      </c>
      <c r="D72" s="16"/>
      <c r="E72" s="16"/>
      <c r="F72" s="12" t="s">
        <v>1455</v>
      </c>
    </row>
    <row r="73" spans="1:6" ht="15.95" customHeight="1">
      <c r="A73" s="15">
        <v>67</v>
      </c>
      <c r="B73" s="16" t="s">
        <v>1450</v>
      </c>
      <c r="C73" s="16" t="s">
        <v>1457</v>
      </c>
      <c r="D73" s="16"/>
      <c r="E73" s="16"/>
      <c r="F73" s="12" t="s">
        <v>1458</v>
      </c>
    </row>
    <row r="74" spans="1:6" ht="15.95" customHeight="1">
      <c r="A74" s="15">
        <v>68</v>
      </c>
      <c r="B74" s="16" t="s">
        <v>1453</v>
      </c>
      <c r="C74" s="16" t="s">
        <v>1460</v>
      </c>
      <c r="D74" s="16"/>
      <c r="E74" s="16"/>
      <c r="F74" s="12" t="s">
        <v>67</v>
      </c>
    </row>
    <row r="75" spans="1:6" ht="15.95" customHeight="1">
      <c r="A75" s="15">
        <v>69</v>
      </c>
      <c r="B75" s="16" t="s">
        <v>1456</v>
      </c>
      <c r="C75" s="16" t="s">
        <v>1462</v>
      </c>
      <c r="D75" s="16"/>
      <c r="E75" s="16"/>
      <c r="F75" s="12" t="s">
        <v>1463</v>
      </c>
    </row>
    <row r="76" spans="1:6" ht="15.95" customHeight="1">
      <c r="A76" s="15">
        <v>70</v>
      </c>
      <c r="B76" s="16" t="s">
        <v>1459</v>
      </c>
      <c r="C76" s="16" t="s">
        <v>1465</v>
      </c>
      <c r="D76" s="16"/>
      <c r="E76" s="16"/>
      <c r="F76" s="12" t="s">
        <v>68</v>
      </c>
    </row>
    <row r="77" spans="1:6" ht="15.95" customHeight="1">
      <c r="A77" s="15">
        <v>71</v>
      </c>
      <c r="B77" s="16" t="s">
        <v>1461</v>
      </c>
      <c r="C77" s="16" t="s">
        <v>1467</v>
      </c>
      <c r="D77" s="16"/>
      <c r="E77" s="16"/>
      <c r="F77" s="12" t="s">
        <v>86</v>
      </c>
    </row>
    <row r="78" spans="1:6" ht="15.95" customHeight="1">
      <c r="A78" s="15">
        <v>72</v>
      </c>
      <c r="B78" s="16" t="s">
        <v>1464</v>
      </c>
      <c r="C78" s="16" t="s">
        <v>1469</v>
      </c>
      <c r="D78" s="16"/>
      <c r="E78" s="16"/>
      <c r="F78" s="12" t="s">
        <v>69</v>
      </c>
    </row>
    <row r="79" spans="1:6" ht="15.95" customHeight="1">
      <c r="A79" s="15">
        <v>73</v>
      </c>
      <c r="B79" s="16" t="s">
        <v>1466</v>
      </c>
      <c r="C79" s="16" t="s">
        <v>1471</v>
      </c>
      <c r="D79" s="16"/>
      <c r="E79" s="16"/>
      <c r="F79" s="12" t="s">
        <v>72</v>
      </c>
    </row>
    <row r="80" spans="1:6" ht="15.95" customHeight="1">
      <c r="A80" s="15">
        <v>74</v>
      </c>
      <c r="B80" s="16" t="s">
        <v>1468</v>
      </c>
      <c r="C80" s="16" t="s">
        <v>1473</v>
      </c>
      <c r="D80" s="16"/>
      <c r="E80" s="16"/>
      <c r="F80" s="12" t="s">
        <v>1474</v>
      </c>
    </row>
    <row r="81" spans="1:6" ht="15.95" customHeight="1">
      <c r="A81" s="15">
        <v>75</v>
      </c>
      <c r="B81" s="16" t="s">
        <v>1470</v>
      </c>
      <c r="C81" s="16" t="s">
        <v>1476</v>
      </c>
      <c r="D81" s="16"/>
      <c r="E81" s="16"/>
      <c r="F81" s="12" t="s">
        <v>1477</v>
      </c>
    </row>
    <row r="82" spans="1:6" ht="15.95" customHeight="1">
      <c r="A82" s="15">
        <v>76</v>
      </c>
      <c r="B82" s="16" t="s">
        <v>1472</v>
      </c>
      <c r="C82" s="16" t="s">
        <v>1479</v>
      </c>
      <c r="D82" s="16"/>
      <c r="E82" s="16"/>
      <c r="F82" s="12" t="s">
        <v>87</v>
      </c>
    </row>
    <row r="83" spans="1:6" ht="15.95" customHeight="1">
      <c r="A83" s="15">
        <v>77</v>
      </c>
      <c r="B83" s="16" t="s">
        <v>1475</v>
      </c>
      <c r="C83" s="16" t="s">
        <v>1481</v>
      </c>
      <c r="D83" s="16"/>
      <c r="E83" s="16"/>
      <c r="F83" s="12" t="s">
        <v>1482</v>
      </c>
    </row>
    <row r="84" spans="1:6" ht="15.95" customHeight="1">
      <c r="A84" s="15">
        <v>78</v>
      </c>
      <c r="B84" s="16" t="s">
        <v>1478</v>
      </c>
      <c r="C84" s="16" t="s">
        <v>1484</v>
      </c>
      <c r="D84" s="16"/>
      <c r="E84" s="16"/>
      <c r="F84" s="12" t="s">
        <v>1485</v>
      </c>
    </row>
    <row r="85" spans="1:6" ht="15.95" customHeight="1">
      <c r="A85" s="15">
        <v>79</v>
      </c>
      <c r="B85" s="16" t="s">
        <v>1480</v>
      </c>
      <c r="C85" s="16" t="s">
        <v>1487</v>
      </c>
      <c r="D85" s="16"/>
      <c r="E85" s="16"/>
      <c r="F85" s="12" t="s">
        <v>1488</v>
      </c>
    </row>
    <row r="86" spans="1:6" ht="15.95" customHeight="1">
      <c r="A86" s="15">
        <v>80</v>
      </c>
      <c r="B86" s="16" t="s">
        <v>1483</v>
      </c>
      <c r="C86" s="16" t="s">
        <v>1490</v>
      </c>
      <c r="D86" s="16"/>
      <c r="E86" s="16"/>
      <c r="F86" s="12" t="s">
        <v>1491</v>
      </c>
    </row>
    <row r="87" spans="1:6" ht="15.95" customHeight="1">
      <c r="A87" s="15">
        <v>81</v>
      </c>
      <c r="B87" s="16" t="s">
        <v>1486</v>
      </c>
      <c r="C87" s="16" t="s">
        <v>1493</v>
      </c>
      <c r="D87" s="16"/>
      <c r="E87" s="16"/>
      <c r="F87" s="12"/>
    </row>
    <row r="88" spans="1:6" ht="15.95" customHeight="1">
      <c r="A88" s="15">
        <v>82</v>
      </c>
      <c r="B88" s="16" t="s">
        <v>1489</v>
      </c>
      <c r="C88" s="16" t="s">
        <v>1495</v>
      </c>
      <c r="D88" s="16"/>
      <c r="E88" s="16"/>
      <c r="F88" s="12"/>
    </row>
    <row r="89" spans="1:6" ht="15.95" customHeight="1">
      <c r="A89" s="15">
        <v>83</v>
      </c>
      <c r="B89" s="16" t="s">
        <v>1492</v>
      </c>
      <c r="C89" s="16" t="s">
        <v>1497</v>
      </c>
      <c r="D89" s="16"/>
      <c r="E89" s="16"/>
      <c r="F89" s="12"/>
    </row>
    <row r="90" spans="1:6" ht="15.95" customHeight="1">
      <c r="A90" s="15">
        <v>84</v>
      </c>
      <c r="B90" s="16" t="s">
        <v>1494</v>
      </c>
      <c r="C90" s="16" t="s">
        <v>1499</v>
      </c>
      <c r="D90" s="16"/>
      <c r="E90" s="16"/>
      <c r="F90" s="12"/>
    </row>
    <row r="91" spans="1:6" ht="15.95" customHeight="1">
      <c r="A91" s="15">
        <v>85</v>
      </c>
      <c r="B91" s="16" t="s">
        <v>1496</v>
      </c>
      <c r="C91" s="16" t="s">
        <v>1501</v>
      </c>
      <c r="D91" s="16"/>
      <c r="E91" s="16"/>
      <c r="F91" s="12"/>
    </row>
    <row r="92" spans="1:6" ht="15.95" customHeight="1">
      <c r="A92" s="15">
        <v>86</v>
      </c>
      <c r="B92" s="16" t="s">
        <v>1498</v>
      </c>
      <c r="C92" s="16" t="s">
        <v>1503</v>
      </c>
      <c r="D92" s="16"/>
      <c r="E92" s="16"/>
      <c r="F92" s="12"/>
    </row>
    <row r="93" spans="1:6" ht="15.95" customHeight="1">
      <c r="A93" s="15">
        <v>87</v>
      </c>
      <c r="B93" s="16" t="s">
        <v>1500</v>
      </c>
      <c r="C93" s="16" t="s">
        <v>1505</v>
      </c>
      <c r="D93" s="16"/>
      <c r="E93" s="16"/>
      <c r="F93" s="12"/>
    </row>
    <row r="94" spans="1:6" ht="15.95" customHeight="1">
      <c r="A94" s="15">
        <v>88</v>
      </c>
      <c r="B94" s="16" t="s">
        <v>1502</v>
      </c>
      <c r="C94" s="16" t="s">
        <v>2036</v>
      </c>
      <c r="D94" s="16"/>
      <c r="E94" s="16"/>
      <c r="F94" s="12"/>
    </row>
    <row r="95" spans="1:6" ht="15.95" customHeight="1">
      <c r="A95" s="15">
        <v>89</v>
      </c>
      <c r="B95" s="16" t="s">
        <v>1504</v>
      </c>
      <c r="C95" s="16" t="s">
        <v>1508</v>
      </c>
      <c r="D95" s="16"/>
      <c r="E95" s="16"/>
      <c r="F95" s="12"/>
    </row>
    <row r="96" spans="1:6" ht="15.95" customHeight="1">
      <c r="A96" s="15">
        <v>90</v>
      </c>
      <c r="B96" s="16" t="s">
        <v>1506</v>
      </c>
      <c r="C96" s="16" t="s">
        <v>1510</v>
      </c>
      <c r="D96" s="16"/>
      <c r="E96" s="16"/>
      <c r="F96" s="12"/>
    </row>
    <row r="97" spans="1:6" ht="15.95" customHeight="1">
      <c r="A97" s="15">
        <v>91</v>
      </c>
      <c r="B97" s="16" t="s">
        <v>1507</v>
      </c>
      <c r="C97" s="16" t="s">
        <v>1512</v>
      </c>
      <c r="D97" s="16"/>
      <c r="E97" s="16"/>
      <c r="F97" s="12"/>
    </row>
    <row r="98" spans="1:6" ht="15.95" customHeight="1">
      <c r="A98" s="15">
        <v>92</v>
      </c>
      <c r="B98" s="16" t="s">
        <v>1509</v>
      </c>
      <c r="C98" s="16" t="s">
        <v>1514</v>
      </c>
      <c r="D98" s="16"/>
      <c r="E98" s="16"/>
      <c r="F98" s="12"/>
    </row>
    <row r="99" spans="1:6" ht="15.95" customHeight="1">
      <c r="A99" s="15">
        <v>93</v>
      </c>
      <c r="B99" s="16" t="s">
        <v>1511</v>
      </c>
      <c r="C99" s="16" t="s">
        <v>1516</v>
      </c>
      <c r="D99" s="16"/>
      <c r="E99" s="16"/>
      <c r="F99" s="12"/>
    </row>
    <row r="100" spans="1:6" ht="15.95" customHeight="1">
      <c r="A100" s="15">
        <v>94</v>
      </c>
      <c r="B100" s="16" t="s">
        <v>1513</v>
      </c>
      <c r="C100" s="16" t="s">
        <v>1518</v>
      </c>
      <c r="D100" s="16"/>
      <c r="E100" s="16"/>
      <c r="F100" s="12"/>
    </row>
    <row r="101" spans="1:6" ht="15.95" customHeight="1">
      <c r="A101" s="15">
        <v>95</v>
      </c>
      <c r="B101" s="16" t="s">
        <v>1515</v>
      </c>
      <c r="C101" s="16" t="s">
        <v>1520</v>
      </c>
      <c r="D101" s="16"/>
      <c r="E101" s="16"/>
      <c r="F101" s="12"/>
    </row>
    <row r="102" spans="1:6" ht="15.95" customHeight="1">
      <c r="A102" s="15">
        <v>96</v>
      </c>
      <c r="B102" s="16" t="s">
        <v>1517</v>
      </c>
      <c r="C102" s="16" t="s">
        <v>1522</v>
      </c>
      <c r="D102" s="16"/>
      <c r="E102" s="16"/>
      <c r="F102" s="12"/>
    </row>
    <row r="103" spans="1:6" ht="15.95" customHeight="1">
      <c r="A103" s="15">
        <v>97</v>
      </c>
      <c r="B103" s="16" t="s">
        <v>1519</v>
      </c>
      <c r="C103" s="16" t="s">
        <v>2035</v>
      </c>
      <c r="D103" s="16"/>
      <c r="E103" s="16"/>
      <c r="F103" s="12"/>
    </row>
    <row r="104" spans="1:6" ht="15.95" customHeight="1">
      <c r="A104" s="15">
        <v>98</v>
      </c>
      <c r="B104" s="16" t="s">
        <v>1521</v>
      </c>
      <c r="C104" s="16" t="s">
        <v>1524</v>
      </c>
      <c r="D104" s="16"/>
      <c r="E104" s="16"/>
      <c r="F104" s="12"/>
    </row>
    <row r="105" spans="1:6" ht="15.95" customHeight="1">
      <c r="A105" s="15">
        <v>99</v>
      </c>
      <c r="B105" s="16" t="s">
        <v>1523</v>
      </c>
      <c r="C105" s="16" t="s">
        <v>1526</v>
      </c>
      <c r="D105" s="16"/>
      <c r="E105" s="16"/>
      <c r="F105" s="12"/>
    </row>
    <row r="106" spans="1:6" ht="15.95" customHeight="1">
      <c r="A106" s="15">
        <v>100</v>
      </c>
      <c r="B106" s="16" t="s">
        <v>1525</v>
      </c>
      <c r="D106" s="16"/>
      <c r="E106" s="16"/>
      <c r="F106" s="12"/>
    </row>
    <row r="107" spans="1:6" ht="15.95" customHeight="1">
      <c r="A107" s="15">
        <v>101</v>
      </c>
      <c r="B107" s="16" t="s">
        <v>1527</v>
      </c>
      <c r="C107" s="16"/>
      <c r="D107" s="16"/>
      <c r="E107" s="16"/>
      <c r="F107" s="12"/>
    </row>
    <row r="108" spans="1:6" ht="15.95" customHeight="1">
      <c r="A108" s="15">
        <v>102</v>
      </c>
      <c r="B108" s="16" t="s">
        <v>1528</v>
      </c>
      <c r="C108" s="16"/>
      <c r="D108" s="16"/>
      <c r="E108" s="16"/>
      <c r="F108" s="12"/>
    </row>
    <row r="109" spans="1:6" ht="15.95" customHeight="1">
      <c r="A109" s="15">
        <v>103</v>
      </c>
      <c r="B109" s="16" t="s">
        <v>1529</v>
      </c>
      <c r="C109" s="16"/>
      <c r="D109" s="16"/>
      <c r="E109" s="16"/>
      <c r="F109" s="12"/>
    </row>
    <row r="110" spans="1:6" ht="15.95" customHeight="1">
      <c r="A110" s="15">
        <v>104</v>
      </c>
      <c r="B110" s="16" t="s">
        <v>1530</v>
      </c>
      <c r="C110" s="16"/>
      <c r="D110" s="16"/>
      <c r="E110" s="16"/>
      <c r="F110" s="12"/>
    </row>
    <row r="111" spans="1:6" ht="15.95" customHeight="1">
      <c r="A111" s="15">
        <v>105</v>
      </c>
      <c r="B111" s="16" t="s">
        <v>1531</v>
      </c>
      <c r="C111" s="16"/>
      <c r="D111" s="16"/>
      <c r="E111" s="16"/>
      <c r="F111" s="12"/>
    </row>
    <row r="112" spans="1:6" ht="15.95" customHeight="1">
      <c r="A112" s="15">
        <v>106</v>
      </c>
      <c r="B112" s="16" t="s">
        <v>1532</v>
      </c>
      <c r="C112" s="16"/>
      <c r="D112" s="16"/>
      <c r="E112" s="16"/>
      <c r="F112" s="12"/>
    </row>
    <row r="113" spans="1:6" ht="15.95" customHeight="1">
      <c r="A113" s="15">
        <v>107</v>
      </c>
      <c r="B113" s="16" t="s">
        <v>1533</v>
      </c>
      <c r="C113" s="16"/>
      <c r="D113" s="16"/>
      <c r="E113" s="16"/>
      <c r="F113" s="12"/>
    </row>
    <row r="114" spans="1:6" ht="15.95" customHeight="1">
      <c r="A114" s="15">
        <v>108</v>
      </c>
      <c r="B114" s="16" t="s">
        <v>1534</v>
      </c>
      <c r="C114" s="16"/>
      <c r="D114" s="16"/>
      <c r="E114" s="16"/>
      <c r="F114" s="12"/>
    </row>
    <row r="115" spans="1:6" ht="15.95" customHeight="1">
      <c r="A115" s="15">
        <v>109</v>
      </c>
      <c r="B115" s="16" t="s">
        <v>1535</v>
      </c>
      <c r="C115" s="16"/>
      <c r="D115" s="16"/>
      <c r="E115" s="16"/>
      <c r="F115" s="12"/>
    </row>
    <row r="116" spans="1:6" ht="15.95" customHeight="1">
      <c r="A116" s="15">
        <v>110</v>
      </c>
      <c r="B116" s="16" t="s">
        <v>1536</v>
      </c>
      <c r="C116" s="16"/>
      <c r="D116" s="16"/>
      <c r="E116" s="16"/>
      <c r="F116" s="12"/>
    </row>
    <row r="117" spans="1:6" ht="15.95" customHeight="1">
      <c r="A117" s="15">
        <v>111</v>
      </c>
      <c r="B117" s="16" t="s">
        <v>1537</v>
      </c>
      <c r="C117" s="16"/>
      <c r="D117" s="16"/>
      <c r="E117" s="16"/>
      <c r="F117" s="12"/>
    </row>
    <row r="118" spans="1:6" ht="15.95" customHeight="1">
      <c r="A118" s="15">
        <v>112</v>
      </c>
      <c r="B118" s="16" t="s">
        <v>1538</v>
      </c>
      <c r="C118" s="16"/>
      <c r="D118" s="16"/>
      <c r="E118" s="16"/>
      <c r="F118" s="12"/>
    </row>
    <row r="119" spans="1:6" ht="15.95" customHeight="1">
      <c r="A119" s="15">
        <v>113</v>
      </c>
      <c r="B119" s="16" t="s">
        <v>1539</v>
      </c>
      <c r="C119" s="16"/>
      <c r="D119" s="16"/>
      <c r="E119" s="16"/>
      <c r="F119" s="12"/>
    </row>
    <row r="120" spans="1:6" ht="15.95" customHeight="1">
      <c r="A120" s="15">
        <v>114</v>
      </c>
      <c r="B120" s="16" t="s">
        <v>1540</v>
      </c>
      <c r="C120" s="16"/>
      <c r="D120" s="16"/>
      <c r="E120" s="16"/>
      <c r="F120" s="12"/>
    </row>
    <row r="121" spans="1:6" ht="15.95" customHeight="1">
      <c r="A121" s="15">
        <v>115</v>
      </c>
      <c r="B121" s="16" t="s">
        <v>1541</v>
      </c>
      <c r="C121" s="16"/>
      <c r="D121" s="16"/>
      <c r="E121" s="16"/>
      <c r="F121" s="12"/>
    </row>
    <row r="122" spans="1:6" ht="15.95" customHeight="1">
      <c r="A122" s="15">
        <v>116</v>
      </c>
      <c r="B122" s="16" t="s">
        <v>1542</v>
      </c>
      <c r="C122" s="16"/>
      <c r="D122" s="16"/>
      <c r="E122" s="16"/>
      <c r="F122" s="12"/>
    </row>
    <row r="123" spans="1:6" ht="15.95" customHeight="1">
      <c r="A123" s="15">
        <v>117</v>
      </c>
      <c r="B123" s="16" t="s">
        <v>1543</v>
      </c>
      <c r="C123" s="16"/>
      <c r="D123" s="16"/>
      <c r="E123" s="16"/>
      <c r="F123" s="12"/>
    </row>
    <row r="124" spans="1:6" ht="15.95" customHeight="1">
      <c r="A124" s="15">
        <v>118</v>
      </c>
      <c r="B124" s="16" t="s">
        <v>1544</v>
      </c>
      <c r="C124" s="16"/>
      <c r="D124" s="16"/>
      <c r="E124" s="16"/>
      <c r="F124" s="12"/>
    </row>
    <row r="125" spans="1:6" ht="15.95" customHeight="1">
      <c r="A125" s="15">
        <v>119</v>
      </c>
      <c r="B125" s="16" t="s">
        <v>1545</v>
      </c>
      <c r="C125" s="16"/>
      <c r="D125" s="16"/>
      <c r="E125" s="16"/>
      <c r="F125" s="12"/>
    </row>
  </sheetData>
  <autoFilter ref="A6:F123"/>
  <mergeCells count="5">
    <mergeCell ref="A1:F1"/>
    <mergeCell ref="A2:F3"/>
    <mergeCell ref="A4:F4"/>
    <mergeCell ref="A5:A6"/>
    <mergeCell ref="B5:E5"/>
  </mergeCells>
  <conditionalFormatting sqref="B14:B37 B67:B125">
    <cfRule type="expression" dxfId="6" priority="3">
      <formula>COUNTIFS($B$6:$B1001,B14)&gt;1</formula>
    </cfRule>
  </conditionalFormatting>
  <conditionalFormatting sqref="C10:C41">
    <cfRule type="expression" dxfId="5" priority="4">
      <formula>COUNTIFS($C$6:$C997,C10)&gt;1</formula>
    </cfRule>
  </conditionalFormatting>
  <conditionalFormatting sqref="B8:B13">
    <cfRule type="expression" dxfId="4" priority="5">
      <formula>COUNTIFS($B$6:$B994,B8)&gt;1</formula>
    </cfRule>
  </conditionalFormatting>
  <conditionalFormatting sqref="F8">
    <cfRule type="expression" dxfId="3" priority="2">
      <formula>COUNTIFS($B$6:$B994,F8)&gt;1</formula>
    </cfRule>
  </conditionalFormatting>
  <conditionalFormatting sqref="B7:B125">
    <cfRule type="duplicateValues" dxfId="2" priority="1"/>
  </conditionalFormatting>
  <conditionalFormatting sqref="B38:B66">
    <cfRule type="expression" dxfId="1" priority="6">
      <formula>COUNTIFS($B$6:$B1026,B38)&gt;1</formula>
    </cfRule>
  </conditionalFormatting>
  <conditionalFormatting sqref="C42:C50">
    <cfRule type="expression" dxfId="0" priority="7">
      <formula>COUNTIFS($C$6:$C1030,C42)&gt;1</formula>
    </cfRule>
  </conditionalFormatting>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sheetPr>
  <dimension ref="A1:G123"/>
  <sheetViews>
    <sheetView showGridLines="0" zoomScaleNormal="10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8.85546875" defaultRowHeight="15" customHeight="1"/>
  <cols>
    <col min="1" max="1" width="6.140625" style="22" customWidth="1"/>
    <col min="2" max="2" width="73.140625" style="22" customWidth="1"/>
    <col min="3" max="4" width="27.140625" style="22" customWidth="1"/>
    <col min="5" max="5" width="28" style="22" customWidth="1"/>
    <col min="6" max="6" width="16.85546875" style="22" customWidth="1"/>
    <col min="7" max="7" width="46.42578125" style="22" customWidth="1"/>
    <col min="8" max="16384" width="8.85546875" style="20"/>
  </cols>
  <sheetData>
    <row r="1" spans="1:7" ht="24.75" customHeight="1">
      <c r="A1" s="60" t="s">
        <v>0</v>
      </c>
      <c r="B1" s="61"/>
      <c r="C1" s="61"/>
      <c r="D1" s="61"/>
      <c r="E1" s="61"/>
      <c r="F1" s="61"/>
      <c r="G1" s="62"/>
    </row>
    <row r="2" spans="1:7" ht="15" customHeight="1">
      <c r="A2" s="63" t="s">
        <v>70</v>
      </c>
      <c r="B2" s="64"/>
      <c r="C2" s="64"/>
      <c r="D2" s="64"/>
      <c r="E2" s="64"/>
      <c r="F2" s="64"/>
      <c r="G2" s="65"/>
    </row>
    <row r="3" spans="1:7" ht="15" customHeight="1">
      <c r="A3" s="66"/>
      <c r="B3" s="67"/>
      <c r="C3" s="67"/>
      <c r="D3" s="67"/>
      <c r="E3" s="67"/>
      <c r="F3" s="67"/>
      <c r="G3" s="68"/>
    </row>
    <row r="4" spans="1:7" ht="28.5" customHeight="1">
      <c r="A4" s="7" t="s">
        <v>2</v>
      </c>
      <c r="B4" s="38" t="s">
        <v>9</v>
      </c>
      <c r="C4" s="38" t="s">
        <v>10</v>
      </c>
      <c r="D4" s="38" t="s">
        <v>11</v>
      </c>
      <c r="E4" s="7" t="s">
        <v>5</v>
      </c>
      <c r="F4" s="38" t="s">
        <v>1572</v>
      </c>
      <c r="G4" s="38" t="s">
        <v>6</v>
      </c>
    </row>
    <row r="5" spans="1:7" s="21" customFormat="1" ht="15.95" customHeight="1">
      <c r="A5" s="39">
        <v>1</v>
      </c>
      <c r="B5" s="23" t="s">
        <v>793</v>
      </c>
      <c r="C5" s="40" t="s">
        <v>499</v>
      </c>
      <c r="D5" s="41" t="s">
        <v>500</v>
      </c>
      <c r="E5" s="23" t="s">
        <v>501</v>
      </c>
      <c r="F5" s="42">
        <v>1</v>
      </c>
      <c r="G5" s="43"/>
    </row>
    <row r="6" spans="1:7" s="21" customFormat="1" ht="15.95" customHeight="1">
      <c r="A6" s="39">
        <v>2</v>
      </c>
      <c r="B6" s="23" t="s">
        <v>794</v>
      </c>
      <c r="C6" s="40" t="s">
        <v>502</v>
      </c>
      <c r="D6" s="41" t="s">
        <v>503</v>
      </c>
      <c r="E6" s="23" t="s">
        <v>504</v>
      </c>
      <c r="F6" s="42">
        <v>1</v>
      </c>
      <c r="G6" s="43"/>
    </row>
    <row r="7" spans="1:7" s="21" customFormat="1" ht="15.95" customHeight="1">
      <c r="A7" s="39">
        <v>3</v>
      </c>
      <c r="B7" s="23" t="s">
        <v>795</v>
      </c>
      <c r="C7" s="40" t="s">
        <v>505</v>
      </c>
      <c r="D7" s="41" t="s">
        <v>506</v>
      </c>
      <c r="E7" s="23" t="s">
        <v>507</v>
      </c>
      <c r="F7" s="42" t="s">
        <v>1680</v>
      </c>
      <c r="G7" s="43"/>
    </row>
    <row r="8" spans="1:7" s="21" customFormat="1" ht="15.95" customHeight="1">
      <c r="A8" s="39">
        <v>4</v>
      </c>
      <c r="B8" s="23" t="s">
        <v>796</v>
      </c>
      <c r="C8" s="40" t="s">
        <v>508</v>
      </c>
      <c r="D8" s="41" t="s">
        <v>509</v>
      </c>
      <c r="E8" s="23" t="s">
        <v>510</v>
      </c>
      <c r="F8" s="42">
        <v>1</v>
      </c>
      <c r="G8" s="43"/>
    </row>
    <row r="9" spans="1:7" s="21" customFormat="1" ht="15.95" customHeight="1">
      <c r="A9" s="39">
        <v>5</v>
      </c>
      <c r="B9" s="23" t="s">
        <v>797</v>
      </c>
      <c r="C9" s="40" t="s">
        <v>511</v>
      </c>
      <c r="D9" s="41" t="s">
        <v>512</v>
      </c>
      <c r="E9" s="23" t="s">
        <v>513</v>
      </c>
      <c r="F9" s="42" t="s">
        <v>1681</v>
      </c>
      <c r="G9" s="43"/>
    </row>
    <row r="10" spans="1:7" s="21" customFormat="1" ht="15.95" customHeight="1">
      <c r="A10" s="39">
        <v>6</v>
      </c>
      <c r="B10" s="23" t="s">
        <v>798</v>
      </c>
      <c r="C10" s="40" t="s">
        <v>514</v>
      </c>
      <c r="D10" s="41" t="s">
        <v>515</v>
      </c>
      <c r="E10" s="23" t="s">
        <v>516</v>
      </c>
      <c r="F10" s="42" t="s">
        <v>1680</v>
      </c>
      <c r="G10" s="43"/>
    </row>
    <row r="11" spans="1:7" s="21" customFormat="1" ht="15.95" customHeight="1">
      <c r="A11" s="39">
        <v>7</v>
      </c>
      <c r="B11" s="44" t="str">
        <f>HYPERLINK("https://clinicaltrials.gov/study/NCT03814798","NCT03814798 - A Multicenter, Randomized, Cross-over, Open-label Study to Evaluate IGSC 20% Flexible Dosing Including Daily Push Dosing In Treatment-Experienced Subjects With Primary Immunodeficiency (PI) and Evaluation of Loading/Maintenance.....")</f>
        <v>NCT03814798 - A Multicenter, Randomized, Cross-over, Open-label Study to Evaluate IGSC 20% Flexible Dosing Including Daily Push Dosing In Treatment-Experienced Subjects With Primary Immunodeficiency (PI) and Evaluation of Loading/Maintenance.....</v>
      </c>
      <c r="C11" s="40" t="s">
        <v>517</v>
      </c>
      <c r="D11" s="41" t="s">
        <v>518</v>
      </c>
      <c r="E11" s="23" t="s">
        <v>519</v>
      </c>
      <c r="F11" s="42">
        <v>1</v>
      </c>
      <c r="G11" s="43"/>
    </row>
    <row r="12" spans="1:7" s="21" customFormat="1" ht="15.95" customHeight="1">
      <c r="A12" s="39">
        <v>8</v>
      </c>
      <c r="B12" s="23" t="s">
        <v>799</v>
      </c>
      <c r="C12" s="40" t="s">
        <v>520</v>
      </c>
      <c r="D12" s="41" t="s">
        <v>521</v>
      </c>
      <c r="E12" s="23" t="s">
        <v>522</v>
      </c>
      <c r="F12" s="42">
        <v>1</v>
      </c>
      <c r="G12" s="43"/>
    </row>
    <row r="13" spans="1:7" s="21" customFormat="1" ht="15.95" customHeight="1">
      <c r="A13" s="39">
        <v>9</v>
      </c>
      <c r="B13" s="23" t="s">
        <v>800</v>
      </c>
      <c r="C13" s="40" t="s">
        <v>523</v>
      </c>
      <c r="D13" s="41" t="s">
        <v>524</v>
      </c>
      <c r="E13" s="23" t="s">
        <v>525</v>
      </c>
      <c r="F13" s="42" t="s">
        <v>1680</v>
      </c>
      <c r="G13" s="43"/>
    </row>
    <row r="14" spans="1:7" s="21" customFormat="1" ht="15.95" customHeight="1">
      <c r="A14" s="39">
        <v>10</v>
      </c>
      <c r="B14" s="23" t="s">
        <v>801</v>
      </c>
      <c r="C14" s="40" t="s">
        <v>526</v>
      </c>
      <c r="D14" s="41" t="s">
        <v>527</v>
      </c>
      <c r="E14" s="23" t="s">
        <v>528</v>
      </c>
      <c r="F14" s="42" t="s">
        <v>1681</v>
      </c>
      <c r="G14" s="43"/>
    </row>
    <row r="15" spans="1:7" s="21" customFormat="1" ht="15.95" customHeight="1">
      <c r="A15" s="39">
        <v>11</v>
      </c>
      <c r="B15" s="23" t="s">
        <v>802</v>
      </c>
      <c r="C15" s="40" t="s">
        <v>529</v>
      </c>
      <c r="D15" s="41" t="s">
        <v>530</v>
      </c>
      <c r="E15" s="23" t="s">
        <v>531</v>
      </c>
      <c r="F15" s="42">
        <v>1</v>
      </c>
      <c r="G15" s="43"/>
    </row>
    <row r="16" spans="1:7" s="21" customFormat="1" ht="15.95" customHeight="1">
      <c r="A16" s="39">
        <v>12</v>
      </c>
      <c r="B16" s="23" t="s">
        <v>803</v>
      </c>
      <c r="C16" s="40" t="s">
        <v>532</v>
      </c>
      <c r="D16" s="41" t="s">
        <v>533</v>
      </c>
      <c r="E16" s="23" t="s">
        <v>534</v>
      </c>
      <c r="F16" s="42" t="s">
        <v>1681</v>
      </c>
      <c r="G16" s="43"/>
    </row>
    <row r="17" spans="1:7" s="21" customFormat="1" ht="15.95" customHeight="1">
      <c r="A17" s="39">
        <v>13</v>
      </c>
      <c r="B17" s="23" t="s">
        <v>902</v>
      </c>
      <c r="C17" s="40" t="s">
        <v>535</v>
      </c>
      <c r="D17" s="41" t="s">
        <v>536</v>
      </c>
      <c r="E17" s="23" t="s">
        <v>537</v>
      </c>
      <c r="F17" s="42" t="s">
        <v>1681</v>
      </c>
      <c r="G17" s="43"/>
    </row>
    <row r="18" spans="1:7" s="21" customFormat="1" ht="15.95" customHeight="1">
      <c r="A18" s="39">
        <v>14</v>
      </c>
      <c r="B18" s="23" t="s">
        <v>804</v>
      </c>
      <c r="C18" s="40" t="s">
        <v>538</v>
      </c>
      <c r="D18" s="41" t="s">
        <v>539</v>
      </c>
      <c r="E18" s="23" t="s">
        <v>540</v>
      </c>
      <c r="F18" s="42">
        <v>1</v>
      </c>
      <c r="G18" s="43"/>
    </row>
    <row r="19" spans="1:7" s="21" customFormat="1" ht="15.95" customHeight="1">
      <c r="A19" s="39">
        <v>15</v>
      </c>
      <c r="B19" s="23" t="s">
        <v>805</v>
      </c>
      <c r="C19" s="40" t="s">
        <v>541</v>
      </c>
      <c r="D19" s="41" t="s">
        <v>542</v>
      </c>
      <c r="E19" s="23" t="s">
        <v>543</v>
      </c>
      <c r="F19" s="42">
        <v>1</v>
      </c>
      <c r="G19" s="43"/>
    </row>
    <row r="20" spans="1:7" s="21" customFormat="1" ht="15.95" customHeight="1">
      <c r="A20" s="39">
        <v>16</v>
      </c>
      <c r="B20" s="23" t="s">
        <v>806</v>
      </c>
      <c r="C20" s="40" t="s">
        <v>511</v>
      </c>
      <c r="D20" s="41" t="s">
        <v>544</v>
      </c>
      <c r="E20" s="23" t="s">
        <v>545</v>
      </c>
      <c r="F20" s="42" t="s">
        <v>1681</v>
      </c>
      <c r="G20" s="43"/>
    </row>
    <row r="21" spans="1:7" s="21" customFormat="1" ht="15.95" customHeight="1">
      <c r="A21" s="39">
        <v>17</v>
      </c>
      <c r="B21" s="23" t="s">
        <v>807</v>
      </c>
      <c r="C21" s="40" t="s">
        <v>546</v>
      </c>
      <c r="D21" s="41" t="s">
        <v>547</v>
      </c>
      <c r="E21" s="23" t="s">
        <v>548</v>
      </c>
      <c r="F21" s="42" t="s">
        <v>1680</v>
      </c>
      <c r="G21" s="43"/>
    </row>
    <row r="22" spans="1:7" s="21" customFormat="1" ht="15.95" customHeight="1">
      <c r="A22" s="39">
        <v>18</v>
      </c>
      <c r="B22" s="23" t="s">
        <v>903</v>
      </c>
      <c r="C22" s="40" t="s">
        <v>517</v>
      </c>
      <c r="D22" s="41" t="s">
        <v>549</v>
      </c>
      <c r="E22" s="23" t="s">
        <v>550</v>
      </c>
      <c r="F22" s="42">
        <v>1</v>
      </c>
      <c r="G22" s="43"/>
    </row>
    <row r="23" spans="1:7" s="21" customFormat="1" ht="15.95" customHeight="1">
      <c r="A23" s="39">
        <v>19</v>
      </c>
      <c r="B23" s="23" t="s">
        <v>808</v>
      </c>
      <c r="C23" s="40" t="s">
        <v>551</v>
      </c>
      <c r="D23" s="41" t="s">
        <v>552</v>
      </c>
      <c r="E23" s="23" t="s">
        <v>553</v>
      </c>
      <c r="F23" s="42">
        <v>1</v>
      </c>
      <c r="G23" s="43"/>
    </row>
    <row r="24" spans="1:7" s="21" customFormat="1" ht="15.95" customHeight="1">
      <c r="A24" s="39">
        <v>20</v>
      </c>
      <c r="B24" s="23" t="s">
        <v>809</v>
      </c>
      <c r="C24" s="40" t="s">
        <v>517</v>
      </c>
      <c r="D24" s="41" t="s">
        <v>554</v>
      </c>
      <c r="E24" s="23" t="s">
        <v>555</v>
      </c>
      <c r="F24" s="42">
        <v>1</v>
      </c>
      <c r="G24" s="43"/>
    </row>
    <row r="25" spans="1:7" s="21" customFormat="1" ht="15.95" customHeight="1">
      <c r="A25" s="39">
        <v>21</v>
      </c>
      <c r="B25" s="23" t="s">
        <v>810</v>
      </c>
      <c r="C25" s="40" t="s">
        <v>511</v>
      </c>
      <c r="D25" s="41" t="s">
        <v>556</v>
      </c>
      <c r="E25" s="23" t="s">
        <v>557</v>
      </c>
      <c r="F25" s="42" t="s">
        <v>1681</v>
      </c>
      <c r="G25" s="43"/>
    </row>
    <row r="26" spans="1:7" s="21" customFormat="1" ht="15.95" customHeight="1">
      <c r="A26" s="39">
        <v>22</v>
      </c>
      <c r="B26" s="23" t="s">
        <v>811</v>
      </c>
      <c r="C26" s="40" t="s">
        <v>558</v>
      </c>
      <c r="D26" s="41" t="s">
        <v>559</v>
      </c>
      <c r="E26" s="23" t="s">
        <v>560</v>
      </c>
      <c r="F26" s="42">
        <v>1</v>
      </c>
      <c r="G26" s="43"/>
    </row>
    <row r="27" spans="1:7" s="21" customFormat="1" ht="15.95" customHeight="1">
      <c r="A27" s="39">
        <v>23</v>
      </c>
      <c r="B27" s="23" t="s">
        <v>812</v>
      </c>
      <c r="C27" s="40" t="s">
        <v>561</v>
      </c>
      <c r="D27" s="41" t="s">
        <v>562</v>
      </c>
      <c r="E27" s="23" t="s">
        <v>563</v>
      </c>
      <c r="F27" s="42">
        <v>1</v>
      </c>
      <c r="G27" s="43"/>
    </row>
    <row r="28" spans="1:7" s="21" customFormat="1" ht="15.95" customHeight="1">
      <c r="A28" s="39">
        <v>24</v>
      </c>
      <c r="B28" s="23" t="s">
        <v>813</v>
      </c>
      <c r="C28" s="40" t="s">
        <v>564</v>
      </c>
      <c r="D28" s="41" t="s">
        <v>565</v>
      </c>
      <c r="E28" s="23" t="s">
        <v>566</v>
      </c>
      <c r="F28" s="42" t="s">
        <v>1680</v>
      </c>
      <c r="G28" s="43"/>
    </row>
    <row r="29" spans="1:7" s="21" customFormat="1" ht="15.95" customHeight="1">
      <c r="A29" s="39">
        <v>25</v>
      </c>
      <c r="B29" s="23" t="s">
        <v>814</v>
      </c>
      <c r="C29" s="40" t="s">
        <v>517</v>
      </c>
      <c r="D29" s="41" t="s">
        <v>567</v>
      </c>
      <c r="E29" s="23" t="s">
        <v>568</v>
      </c>
      <c r="F29" s="42">
        <v>1</v>
      </c>
      <c r="G29" s="43"/>
    </row>
    <row r="30" spans="1:7" s="21" customFormat="1" ht="15.95" customHeight="1">
      <c r="A30" s="39">
        <v>26</v>
      </c>
      <c r="B30" s="23" t="s">
        <v>904</v>
      </c>
      <c r="C30" s="40" t="s">
        <v>529</v>
      </c>
      <c r="D30" s="41" t="s">
        <v>569</v>
      </c>
      <c r="E30" s="23" t="s">
        <v>570</v>
      </c>
      <c r="F30" s="42">
        <v>1</v>
      </c>
      <c r="G30" s="43"/>
    </row>
    <row r="31" spans="1:7" s="21" customFormat="1" ht="15.95" customHeight="1">
      <c r="A31" s="39">
        <v>27</v>
      </c>
      <c r="B31" s="23" t="s">
        <v>815</v>
      </c>
      <c r="C31" s="40" t="s">
        <v>517</v>
      </c>
      <c r="D31" s="41" t="s">
        <v>571</v>
      </c>
      <c r="E31" s="23" t="s">
        <v>572</v>
      </c>
      <c r="F31" s="42">
        <v>1</v>
      </c>
      <c r="G31" s="43"/>
    </row>
    <row r="32" spans="1:7" s="21" customFormat="1" ht="15.95" customHeight="1">
      <c r="A32" s="39">
        <v>28</v>
      </c>
      <c r="B32" s="23" t="s">
        <v>816</v>
      </c>
      <c r="C32" s="40" t="s">
        <v>529</v>
      </c>
      <c r="D32" s="41" t="s">
        <v>573</v>
      </c>
      <c r="E32" s="23" t="s">
        <v>574</v>
      </c>
      <c r="F32" s="42">
        <v>1</v>
      </c>
      <c r="G32" s="43"/>
    </row>
    <row r="33" spans="1:7" s="21" customFormat="1" ht="15.95" customHeight="1">
      <c r="A33" s="39">
        <v>29</v>
      </c>
      <c r="B33" s="23" t="s">
        <v>817</v>
      </c>
      <c r="C33" s="40" t="s">
        <v>529</v>
      </c>
      <c r="D33" s="41" t="s">
        <v>575</v>
      </c>
      <c r="E33" s="23" t="s">
        <v>576</v>
      </c>
      <c r="F33" s="42">
        <v>1</v>
      </c>
      <c r="G33" s="43"/>
    </row>
    <row r="34" spans="1:7" s="21" customFormat="1" ht="15.95" customHeight="1">
      <c r="A34" s="39">
        <v>30</v>
      </c>
      <c r="B34" s="23" t="s">
        <v>818</v>
      </c>
      <c r="C34" s="40" t="s">
        <v>577</v>
      </c>
      <c r="D34" s="41" t="s">
        <v>578</v>
      </c>
      <c r="E34" s="23" t="s">
        <v>579</v>
      </c>
      <c r="F34" s="42">
        <v>1</v>
      </c>
      <c r="G34" s="43"/>
    </row>
    <row r="35" spans="1:7" s="21" customFormat="1" ht="15.95" customHeight="1">
      <c r="A35" s="39">
        <v>31</v>
      </c>
      <c r="B35" s="23" t="s">
        <v>819</v>
      </c>
      <c r="C35" s="40" t="s">
        <v>580</v>
      </c>
      <c r="D35" s="41" t="s">
        <v>581</v>
      </c>
      <c r="E35" s="23" t="s">
        <v>582</v>
      </c>
      <c r="F35" s="42">
        <v>1</v>
      </c>
      <c r="G35" s="43"/>
    </row>
    <row r="36" spans="1:7" s="21" customFormat="1" ht="15.95" customHeight="1">
      <c r="A36" s="39">
        <v>32</v>
      </c>
      <c r="B36" s="23" t="s">
        <v>820</v>
      </c>
      <c r="C36" s="40" t="s">
        <v>583</v>
      </c>
      <c r="D36" s="41" t="s">
        <v>584</v>
      </c>
      <c r="E36" s="23" t="s">
        <v>585</v>
      </c>
      <c r="F36" s="42">
        <v>1</v>
      </c>
      <c r="G36" s="43"/>
    </row>
    <row r="37" spans="1:7" s="21" customFormat="1" ht="15.95" customHeight="1">
      <c r="A37" s="39">
        <v>33</v>
      </c>
      <c r="B37" s="23" t="s">
        <v>821</v>
      </c>
      <c r="C37" s="40" t="s">
        <v>586</v>
      </c>
      <c r="D37" s="41" t="s">
        <v>587</v>
      </c>
      <c r="E37" s="23" t="s">
        <v>588</v>
      </c>
      <c r="F37" s="42" t="s">
        <v>1681</v>
      </c>
      <c r="G37" s="43"/>
    </row>
    <row r="38" spans="1:7" s="21" customFormat="1" ht="15.95" customHeight="1">
      <c r="A38" s="39">
        <v>34</v>
      </c>
      <c r="B38" s="23" t="s">
        <v>822</v>
      </c>
      <c r="C38" s="40" t="s">
        <v>517</v>
      </c>
      <c r="D38" s="41" t="s">
        <v>589</v>
      </c>
      <c r="E38" s="23" t="s">
        <v>590</v>
      </c>
      <c r="F38" s="42">
        <v>1</v>
      </c>
      <c r="G38" s="43"/>
    </row>
    <row r="39" spans="1:7" s="21" customFormat="1" ht="15.95" customHeight="1">
      <c r="A39" s="39">
        <v>35</v>
      </c>
      <c r="B39" s="23" t="s">
        <v>823</v>
      </c>
      <c r="C39" s="40" t="s">
        <v>591</v>
      </c>
      <c r="D39" s="41" t="s">
        <v>592</v>
      </c>
      <c r="E39" s="23" t="s">
        <v>593</v>
      </c>
      <c r="F39" s="42">
        <v>1</v>
      </c>
      <c r="G39" s="43"/>
    </row>
    <row r="40" spans="1:7" s="21" customFormat="1" ht="15.95" customHeight="1">
      <c r="A40" s="39">
        <v>36</v>
      </c>
      <c r="B40" s="23" t="s">
        <v>824</v>
      </c>
      <c r="C40" s="40" t="s">
        <v>594</v>
      </c>
      <c r="D40" s="41" t="s">
        <v>595</v>
      </c>
      <c r="E40" s="23" t="s">
        <v>596</v>
      </c>
      <c r="F40" s="42" t="s">
        <v>1680</v>
      </c>
      <c r="G40" s="43"/>
    </row>
    <row r="41" spans="1:7" s="21" customFormat="1" ht="15.95" customHeight="1">
      <c r="A41" s="39">
        <v>37</v>
      </c>
      <c r="B41" s="23" t="s">
        <v>825</v>
      </c>
      <c r="C41" s="40" t="s">
        <v>597</v>
      </c>
      <c r="D41" s="41" t="s">
        <v>598</v>
      </c>
      <c r="E41" s="23" t="s">
        <v>599</v>
      </c>
      <c r="F41" s="42">
        <v>1</v>
      </c>
      <c r="G41" s="43"/>
    </row>
    <row r="42" spans="1:7" s="21" customFormat="1" ht="15.95" customHeight="1">
      <c r="A42" s="39">
        <v>38</v>
      </c>
      <c r="B42" s="23" t="s">
        <v>826</v>
      </c>
      <c r="C42" s="40" t="s">
        <v>600</v>
      </c>
      <c r="D42" s="41" t="s">
        <v>601</v>
      </c>
      <c r="E42" s="23" t="s">
        <v>602</v>
      </c>
      <c r="F42" s="42" t="s">
        <v>1680</v>
      </c>
      <c r="G42" s="43"/>
    </row>
    <row r="43" spans="1:7" s="21" customFormat="1" ht="15.95" customHeight="1">
      <c r="A43" s="39">
        <v>39</v>
      </c>
      <c r="B43" s="23" t="s">
        <v>827</v>
      </c>
      <c r="C43" s="40" t="s">
        <v>517</v>
      </c>
      <c r="D43" s="41" t="s">
        <v>603</v>
      </c>
      <c r="E43" s="23" t="s">
        <v>604</v>
      </c>
      <c r="F43" s="42">
        <v>1</v>
      </c>
      <c r="G43" s="43"/>
    </row>
    <row r="44" spans="1:7" s="21" customFormat="1" ht="15.95" customHeight="1">
      <c r="A44" s="39">
        <v>40</v>
      </c>
      <c r="B44" s="23" t="s">
        <v>828</v>
      </c>
      <c r="C44" s="40" t="s">
        <v>535</v>
      </c>
      <c r="D44" s="41" t="s">
        <v>605</v>
      </c>
      <c r="E44" s="23" t="s">
        <v>606</v>
      </c>
      <c r="F44" s="42" t="s">
        <v>1681</v>
      </c>
      <c r="G44" s="43"/>
    </row>
    <row r="45" spans="1:7" s="21" customFormat="1" ht="15.95" customHeight="1">
      <c r="A45" s="39">
        <v>41</v>
      </c>
      <c r="B45" s="23" t="s">
        <v>829</v>
      </c>
      <c r="C45" s="40" t="s">
        <v>607</v>
      </c>
      <c r="D45" s="41" t="s">
        <v>608</v>
      </c>
      <c r="E45" s="23" t="s">
        <v>609</v>
      </c>
      <c r="F45" s="42" t="s">
        <v>1680</v>
      </c>
      <c r="G45" s="43"/>
    </row>
    <row r="46" spans="1:7" s="21" customFormat="1" ht="15.95" customHeight="1">
      <c r="A46" s="39">
        <v>42</v>
      </c>
      <c r="B46" s="23" t="s">
        <v>830</v>
      </c>
      <c r="C46" s="40" t="s">
        <v>529</v>
      </c>
      <c r="D46" s="41" t="s">
        <v>610</v>
      </c>
      <c r="E46" s="23" t="s">
        <v>611</v>
      </c>
      <c r="F46" s="42">
        <v>1</v>
      </c>
      <c r="G46" s="43"/>
    </row>
    <row r="47" spans="1:7" s="21" customFormat="1" ht="15.95" customHeight="1">
      <c r="A47" s="39">
        <v>43</v>
      </c>
      <c r="B47" s="23" t="s">
        <v>905</v>
      </c>
      <c r="C47" s="40" t="s">
        <v>612</v>
      </c>
      <c r="D47" s="41" t="s">
        <v>613</v>
      </c>
      <c r="E47" s="23" t="s">
        <v>614</v>
      </c>
      <c r="F47" s="42" t="s">
        <v>1681</v>
      </c>
      <c r="G47" s="43"/>
    </row>
    <row r="48" spans="1:7" s="21" customFormat="1" ht="15.95" customHeight="1">
      <c r="A48" s="39">
        <v>44</v>
      </c>
      <c r="B48" s="23" t="s">
        <v>831</v>
      </c>
      <c r="C48" s="40" t="s">
        <v>517</v>
      </c>
      <c r="D48" s="41" t="s">
        <v>615</v>
      </c>
      <c r="E48" s="23" t="s">
        <v>616</v>
      </c>
      <c r="F48" s="42">
        <v>1</v>
      </c>
      <c r="G48" s="43"/>
    </row>
    <row r="49" spans="1:7" s="21" customFormat="1" ht="15.95" customHeight="1">
      <c r="A49" s="39">
        <v>45</v>
      </c>
      <c r="B49" s="23" t="s">
        <v>832</v>
      </c>
      <c r="C49" s="40" t="s">
        <v>617</v>
      </c>
      <c r="D49" s="41" t="s">
        <v>618</v>
      </c>
      <c r="E49" s="23" t="s">
        <v>619</v>
      </c>
      <c r="F49" s="42" t="s">
        <v>1680</v>
      </c>
      <c r="G49" s="43"/>
    </row>
    <row r="50" spans="1:7" s="21" customFormat="1" ht="15.95" customHeight="1">
      <c r="A50" s="39">
        <v>46</v>
      </c>
      <c r="B50" s="23" t="s">
        <v>833</v>
      </c>
      <c r="C50" s="40" t="s">
        <v>620</v>
      </c>
      <c r="D50" s="41" t="s">
        <v>621</v>
      </c>
      <c r="E50" s="23" t="s">
        <v>622</v>
      </c>
      <c r="F50" s="42" t="s">
        <v>1680</v>
      </c>
      <c r="G50" s="43"/>
    </row>
    <row r="51" spans="1:7" s="21" customFormat="1" ht="15.95" customHeight="1">
      <c r="A51" s="39">
        <v>47</v>
      </c>
      <c r="B51" s="23" t="s">
        <v>834</v>
      </c>
      <c r="C51" s="40" t="s">
        <v>623</v>
      </c>
      <c r="D51" s="41" t="s">
        <v>624</v>
      </c>
      <c r="E51" s="23" t="s">
        <v>625</v>
      </c>
      <c r="F51" s="42" t="s">
        <v>1681</v>
      </c>
      <c r="G51" s="43"/>
    </row>
    <row r="52" spans="1:7" s="21" customFormat="1" ht="15.95" customHeight="1">
      <c r="A52" s="39">
        <v>48</v>
      </c>
      <c r="B52" s="23" t="s">
        <v>906</v>
      </c>
      <c r="C52" s="40" t="s">
        <v>626</v>
      </c>
      <c r="D52" s="41" t="s">
        <v>627</v>
      </c>
      <c r="E52" s="23" t="s">
        <v>628</v>
      </c>
      <c r="F52" s="42" t="s">
        <v>1681</v>
      </c>
      <c r="G52" s="43"/>
    </row>
    <row r="53" spans="1:7" s="21" customFormat="1" ht="15.95" customHeight="1">
      <c r="A53" s="39">
        <v>49</v>
      </c>
      <c r="B53" s="23" t="s">
        <v>907</v>
      </c>
      <c r="C53" s="40" t="s">
        <v>629</v>
      </c>
      <c r="D53" s="41" t="s">
        <v>630</v>
      </c>
      <c r="E53" s="23" t="s">
        <v>631</v>
      </c>
      <c r="F53" s="42" t="s">
        <v>1680</v>
      </c>
      <c r="G53" s="43"/>
    </row>
    <row r="54" spans="1:7" s="21" customFormat="1" ht="15.95" customHeight="1">
      <c r="A54" s="39">
        <v>50</v>
      </c>
      <c r="B54" s="23" t="s">
        <v>908</v>
      </c>
      <c r="C54" s="40" t="s">
        <v>529</v>
      </c>
      <c r="D54" s="41" t="s">
        <v>632</v>
      </c>
      <c r="E54" s="23" t="s">
        <v>633</v>
      </c>
      <c r="F54" s="42">
        <v>1</v>
      </c>
      <c r="G54" s="43"/>
    </row>
    <row r="55" spans="1:7" s="21" customFormat="1" ht="15.95" customHeight="1">
      <c r="A55" s="39">
        <v>51</v>
      </c>
      <c r="B55" s="23" t="s">
        <v>835</v>
      </c>
      <c r="C55" s="40" t="s">
        <v>634</v>
      </c>
      <c r="D55" s="41" t="s">
        <v>635</v>
      </c>
      <c r="E55" s="23" t="s">
        <v>636</v>
      </c>
      <c r="F55" s="42" t="s">
        <v>1680</v>
      </c>
      <c r="G55" s="43"/>
    </row>
    <row r="56" spans="1:7" s="21" customFormat="1" ht="15.95" customHeight="1">
      <c r="A56" s="39">
        <v>52</v>
      </c>
      <c r="B56" s="23" t="s">
        <v>836</v>
      </c>
      <c r="C56" s="40" t="s">
        <v>517</v>
      </c>
      <c r="D56" s="41" t="s">
        <v>637</v>
      </c>
      <c r="E56" s="23" t="s">
        <v>638</v>
      </c>
      <c r="F56" s="42">
        <v>1</v>
      </c>
      <c r="G56" s="43"/>
    </row>
    <row r="57" spans="1:7" s="21" customFormat="1" ht="15.95" customHeight="1">
      <c r="A57" s="39">
        <v>53</v>
      </c>
      <c r="B57" s="23" t="s">
        <v>837</v>
      </c>
      <c r="C57" s="40" t="s">
        <v>639</v>
      </c>
      <c r="D57" s="41" t="s">
        <v>640</v>
      </c>
      <c r="E57" s="23" t="s">
        <v>641</v>
      </c>
      <c r="F57" s="42" t="s">
        <v>1680</v>
      </c>
      <c r="G57" s="43"/>
    </row>
    <row r="58" spans="1:7" s="21" customFormat="1" ht="15.95" customHeight="1">
      <c r="A58" s="39">
        <v>54</v>
      </c>
      <c r="B58" s="23" t="s">
        <v>838</v>
      </c>
      <c r="C58" s="40" t="s">
        <v>511</v>
      </c>
      <c r="D58" s="41" t="s">
        <v>642</v>
      </c>
      <c r="E58" s="23" t="s">
        <v>643</v>
      </c>
      <c r="F58" s="42" t="s">
        <v>1681</v>
      </c>
      <c r="G58" s="43"/>
    </row>
    <row r="59" spans="1:7" s="21" customFormat="1" ht="15.95" customHeight="1">
      <c r="A59" s="39">
        <v>55</v>
      </c>
      <c r="B59" s="23" t="s">
        <v>909</v>
      </c>
      <c r="C59" s="40" t="s">
        <v>629</v>
      </c>
      <c r="D59" s="41" t="s">
        <v>644</v>
      </c>
      <c r="E59" s="23" t="s">
        <v>645</v>
      </c>
      <c r="F59" s="42" t="s">
        <v>1680</v>
      </c>
      <c r="G59" s="43"/>
    </row>
    <row r="60" spans="1:7" s="21" customFormat="1" ht="15.95" customHeight="1">
      <c r="A60" s="39">
        <v>56</v>
      </c>
      <c r="B60" s="23" t="s">
        <v>839</v>
      </c>
      <c r="C60" s="40" t="s">
        <v>517</v>
      </c>
      <c r="D60" s="41" t="s">
        <v>646</v>
      </c>
      <c r="E60" s="23" t="s">
        <v>647</v>
      </c>
      <c r="F60" s="42">
        <v>1</v>
      </c>
      <c r="G60" s="43"/>
    </row>
    <row r="61" spans="1:7" s="21" customFormat="1" ht="15.95" customHeight="1">
      <c r="A61" s="39">
        <v>57</v>
      </c>
      <c r="B61" s="23" t="s">
        <v>840</v>
      </c>
      <c r="C61" s="40" t="s">
        <v>517</v>
      </c>
      <c r="D61" s="41" t="s">
        <v>648</v>
      </c>
      <c r="E61" s="23" t="s">
        <v>649</v>
      </c>
      <c r="F61" s="42">
        <v>1</v>
      </c>
      <c r="G61" s="43"/>
    </row>
    <row r="62" spans="1:7" s="21" customFormat="1" ht="15.95" customHeight="1">
      <c r="A62" s="39">
        <v>58</v>
      </c>
      <c r="B62" s="23" t="s">
        <v>841</v>
      </c>
      <c r="C62" s="40" t="s">
        <v>650</v>
      </c>
      <c r="D62" s="41" t="s">
        <v>651</v>
      </c>
      <c r="E62" s="23" t="s">
        <v>652</v>
      </c>
      <c r="F62" s="42" t="s">
        <v>1680</v>
      </c>
      <c r="G62" s="43"/>
    </row>
    <row r="63" spans="1:7" s="21" customFormat="1" ht="15.95" customHeight="1">
      <c r="A63" s="39">
        <v>59</v>
      </c>
      <c r="B63" s="23" t="s">
        <v>842</v>
      </c>
      <c r="C63" s="40" t="s">
        <v>517</v>
      </c>
      <c r="D63" s="41" t="s">
        <v>653</v>
      </c>
      <c r="E63" s="23" t="s">
        <v>654</v>
      </c>
      <c r="F63" s="42">
        <v>1</v>
      </c>
      <c r="G63" s="43"/>
    </row>
    <row r="64" spans="1:7" s="21" customFormat="1" ht="15.95" customHeight="1">
      <c r="A64" s="39">
        <v>60</v>
      </c>
      <c r="B64" s="23" t="s">
        <v>843</v>
      </c>
      <c r="C64" s="40" t="s">
        <v>517</v>
      </c>
      <c r="D64" s="41" t="s">
        <v>655</v>
      </c>
      <c r="E64" s="23" t="s">
        <v>656</v>
      </c>
      <c r="F64" s="42">
        <v>1</v>
      </c>
      <c r="G64" s="43"/>
    </row>
    <row r="65" spans="1:7" s="21" customFormat="1" ht="15.95" customHeight="1">
      <c r="A65" s="39">
        <v>61</v>
      </c>
      <c r="B65" s="23" t="s">
        <v>844</v>
      </c>
      <c r="C65" s="40" t="s">
        <v>517</v>
      </c>
      <c r="D65" s="41" t="s">
        <v>657</v>
      </c>
      <c r="E65" s="23" t="s">
        <v>658</v>
      </c>
      <c r="F65" s="42">
        <v>1</v>
      </c>
      <c r="G65" s="43"/>
    </row>
    <row r="66" spans="1:7" s="21" customFormat="1" ht="15.95" customHeight="1">
      <c r="A66" s="39">
        <v>62</v>
      </c>
      <c r="B66" s="23" t="s">
        <v>845</v>
      </c>
      <c r="C66" s="40" t="s">
        <v>659</v>
      </c>
      <c r="D66" s="41" t="s">
        <v>660</v>
      </c>
      <c r="E66" s="23" t="s">
        <v>661</v>
      </c>
      <c r="F66" s="42" t="s">
        <v>1680</v>
      </c>
      <c r="G66" s="43"/>
    </row>
    <row r="67" spans="1:7" s="21" customFormat="1" ht="15.95" customHeight="1">
      <c r="A67" s="39">
        <v>63</v>
      </c>
      <c r="B67" s="23" t="s">
        <v>846</v>
      </c>
      <c r="C67" s="40" t="s">
        <v>517</v>
      </c>
      <c r="D67" s="41" t="s">
        <v>662</v>
      </c>
      <c r="E67" s="23" t="s">
        <v>663</v>
      </c>
      <c r="F67" s="42">
        <v>1</v>
      </c>
      <c r="G67" s="43"/>
    </row>
    <row r="68" spans="1:7" s="21" customFormat="1" ht="15.95" customHeight="1">
      <c r="A68" s="39">
        <v>64</v>
      </c>
      <c r="B68" s="23" t="s">
        <v>847</v>
      </c>
      <c r="C68" s="40" t="s">
        <v>517</v>
      </c>
      <c r="D68" s="41" t="s">
        <v>664</v>
      </c>
      <c r="E68" s="23" t="s">
        <v>665</v>
      </c>
      <c r="F68" s="42">
        <v>1</v>
      </c>
      <c r="G68" s="43"/>
    </row>
    <row r="69" spans="1:7" s="21" customFormat="1" ht="15.95" customHeight="1">
      <c r="A69" s="39">
        <v>65</v>
      </c>
      <c r="B69" s="23" t="s">
        <v>848</v>
      </c>
      <c r="C69" s="40" t="s">
        <v>666</v>
      </c>
      <c r="D69" s="41" t="s">
        <v>667</v>
      </c>
      <c r="E69" s="23" t="s">
        <v>668</v>
      </c>
      <c r="F69" s="42" t="s">
        <v>1680</v>
      </c>
      <c r="G69" s="43"/>
    </row>
    <row r="70" spans="1:7" s="21" customFormat="1" ht="15.95" customHeight="1">
      <c r="A70" s="39">
        <v>66</v>
      </c>
      <c r="B70" s="23" t="s">
        <v>849</v>
      </c>
      <c r="C70" s="40" t="s">
        <v>669</v>
      </c>
      <c r="D70" s="41" t="s">
        <v>670</v>
      </c>
      <c r="E70" s="23" t="s">
        <v>671</v>
      </c>
      <c r="F70" s="42" t="s">
        <v>1680</v>
      </c>
      <c r="G70" s="43"/>
    </row>
    <row r="71" spans="1:7" s="21" customFormat="1" ht="15.95" customHeight="1">
      <c r="A71" s="39">
        <v>67</v>
      </c>
      <c r="B71" s="23" t="s">
        <v>850</v>
      </c>
      <c r="C71" s="40" t="s">
        <v>672</v>
      </c>
      <c r="D71" s="41" t="s">
        <v>673</v>
      </c>
      <c r="E71" s="23" t="s">
        <v>674</v>
      </c>
      <c r="F71" s="42" t="s">
        <v>1680</v>
      </c>
      <c r="G71" s="43"/>
    </row>
    <row r="72" spans="1:7" s="21" customFormat="1" ht="15.95" customHeight="1">
      <c r="A72" s="39">
        <v>68</v>
      </c>
      <c r="B72" s="23" t="s">
        <v>851</v>
      </c>
      <c r="C72" s="40" t="s">
        <v>529</v>
      </c>
      <c r="D72" s="41" t="s">
        <v>675</v>
      </c>
      <c r="E72" s="23" t="s">
        <v>676</v>
      </c>
      <c r="F72" s="42">
        <v>1</v>
      </c>
      <c r="G72" s="43"/>
    </row>
    <row r="73" spans="1:7" s="21" customFormat="1" ht="15.95" customHeight="1">
      <c r="A73" s="39">
        <v>69</v>
      </c>
      <c r="B73" s="23" t="s">
        <v>852</v>
      </c>
      <c r="C73" s="40" t="s">
        <v>517</v>
      </c>
      <c r="D73" s="41" t="s">
        <v>677</v>
      </c>
      <c r="E73" s="23" t="s">
        <v>678</v>
      </c>
      <c r="F73" s="42">
        <v>1</v>
      </c>
      <c r="G73" s="43"/>
    </row>
    <row r="74" spans="1:7" s="21" customFormat="1" ht="15.95" customHeight="1">
      <c r="A74" s="39">
        <v>70</v>
      </c>
      <c r="B74" s="23" t="s">
        <v>853</v>
      </c>
      <c r="C74" s="40" t="s">
        <v>517</v>
      </c>
      <c r="D74" s="41" t="s">
        <v>679</v>
      </c>
      <c r="E74" s="23" t="s">
        <v>680</v>
      </c>
      <c r="F74" s="42">
        <v>1</v>
      </c>
      <c r="G74" s="43"/>
    </row>
    <row r="75" spans="1:7" s="21" customFormat="1" ht="15.95" customHeight="1">
      <c r="A75" s="39">
        <v>71</v>
      </c>
      <c r="B75" s="23" t="s">
        <v>854</v>
      </c>
      <c r="C75" s="40" t="s">
        <v>681</v>
      </c>
      <c r="D75" s="41" t="s">
        <v>682</v>
      </c>
      <c r="E75" s="23" t="s">
        <v>683</v>
      </c>
      <c r="F75" s="42">
        <v>1</v>
      </c>
      <c r="G75" s="43"/>
    </row>
    <row r="76" spans="1:7" s="21" customFormat="1" ht="15.95" customHeight="1">
      <c r="A76" s="39">
        <v>72</v>
      </c>
      <c r="B76" s="23" t="s">
        <v>910</v>
      </c>
      <c r="C76" s="40" t="s">
        <v>629</v>
      </c>
      <c r="D76" s="41" t="s">
        <v>684</v>
      </c>
      <c r="E76" s="23" t="s">
        <v>685</v>
      </c>
      <c r="F76" s="42" t="s">
        <v>1680</v>
      </c>
      <c r="G76" s="43"/>
    </row>
    <row r="77" spans="1:7" s="21" customFormat="1" ht="15.95" customHeight="1">
      <c r="A77" s="39">
        <v>73</v>
      </c>
      <c r="B77" s="23" t="s">
        <v>855</v>
      </c>
      <c r="C77" s="40" t="s">
        <v>511</v>
      </c>
      <c r="D77" s="41" t="s">
        <v>686</v>
      </c>
      <c r="E77" s="23" t="s">
        <v>687</v>
      </c>
      <c r="F77" s="42" t="s">
        <v>1681</v>
      </c>
      <c r="G77" s="43"/>
    </row>
    <row r="78" spans="1:7" s="21" customFormat="1" ht="15.95" customHeight="1">
      <c r="A78" s="39">
        <v>74</v>
      </c>
      <c r="B78" s="23" t="s">
        <v>856</v>
      </c>
      <c r="C78" s="40" t="s">
        <v>517</v>
      </c>
      <c r="D78" s="41" t="s">
        <v>688</v>
      </c>
      <c r="E78" s="23" t="s">
        <v>689</v>
      </c>
      <c r="F78" s="42">
        <v>1</v>
      </c>
      <c r="G78" s="43"/>
    </row>
    <row r="79" spans="1:7" s="21" customFormat="1" ht="15.95" customHeight="1">
      <c r="A79" s="39">
        <v>75</v>
      </c>
      <c r="B79" s="23" t="s">
        <v>857</v>
      </c>
      <c r="C79" s="40" t="s">
        <v>629</v>
      </c>
      <c r="D79" s="41" t="s">
        <v>690</v>
      </c>
      <c r="E79" s="23" t="s">
        <v>691</v>
      </c>
      <c r="F79" s="42" t="s">
        <v>1680</v>
      </c>
      <c r="G79" s="43"/>
    </row>
    <row r="80" spans="1:7" s="21" customFormat="1" ht="15.95" customHeight="1">
      <c r="A80" s="39">
        <v>76</v>
      </c>
      <c r="B80" s="23" t="s">
        <v>858</v>
      </c>
      <c r="C80" s="40" t="s">
        <v>511</v>
      </c>
      <c r="D80" s="41" t="s">
        <v>692</v>
      </c>
      <c r="E80" s="23" t="s">
        <v>693</v>
      </c>
      <c r="F80" s="42" t="s">
        <v>1681</v>
      </c>
      <c r="G80" s="43"/>
    </row>
    <row r="81" spans="1:7" s="21" customFormat="1" ht="15.95" customHeight="1">
      <c r="A81" s="39">
        <v>77</v>
      </c>
      <c r="B81" s="23" t="s">
        <v>859</v>
      </c>
      <c r="C81" s="40" t="s">
        <v>517</v>
      </c>
      <c r="D81" s="41" t="s">
        <v>694</v>
      </c>
      <c r="E81" s="23" t="s">
        <v>695</v>
      </c>
      <c r="F81" s="42">
        <v>1</v>
      </c>
      <c r="G81" s="43"/>
    </row>
    <row r="82" spans="1:7" s="21" customFormat="1" ht="15.95" customHeight="1">
      <c r="A82" s="39">
        <v>78</v>
      </c>
      <c r="B82" s="23" t="s">
        <v>860</v>
      </c>
      <c r="C82" s="40" t="s">
        <v>517</v>
      </c>
      <c r="D82" s="41" t="s">
        <v>696</v>
      </c>
      <c r="E82" s="23" t="s">
        <v>697</v>
      </c>
      <c r="F82" s="42">
        <v>1</v>
      </c>
      <c r="G82" s="43"/>
    </row>
    <row r="83" spans="1:7" s="21" customFormat="1" ht="15.95" customHeight="1">
      <c r="A83" s="39">
        <v>79</v>
      </c>
      <c r="B83" s="23" t="s">
        <v>861</v>
      </c>
      <c r="C83" s="40" t="s">
        <v>511</v>
      </c>
      <c r="D83" s="41" t="s">
        <v>698</v>
      </c>
      <c r="E83" s="23" t="s">
        <v>699</v>
      </c>
      <c r="F83" s="42" t="s">
        <v>1681</v>
      </c>
      <c r="G83" s="43"/>
    </row>
    <row r="84" spans="1:7" s="21" customFormat="1" ht="15.95" customHeight="1">
      <c r="A84" s="39">
        <v>80</v>
      </c>
      <c r="B84" s="23" t="s">
        <v>862</v>
      </c>
      <c r="C84" s="40" t="s">
        <v>700</v>
      </c>
      <c r="D84" s="41" t="s">
        <v>701</v>
      </c>
      <c r="E84" s="23" t="s">
        <v>702</v>
      </c>
      <c r="F84" s="42" t="s">
        <v>1681</v>
      </c>
      <c r="G84" s="43"/>
    </row>
    <row r="85" spans="1:7" s="21" customFormat="1" ht="15.95" customHeight="1">
      <c r="A85" s="39">
        <v>81</v>
      </c>
      <c r="B85" s="23" t="s">
        <v>863</v>
      </c>
      <c r="C85" s="40" t="s">
        <v>703</v>
      </c>
      <c r="D85" s="41" t="s">
        <v>704</v>
      </c>
      <c r="E85" s="23" t="s">
        <v>705</v>
      </c>
      <c r="F85" s="42" t="s">
        <v>1681</v>
      </c>
      <c r="G85" s="43"/>
    </row>
    <row r="86" spans="1:7" s="21" customFormat="1" ht="15.95" customHeight="1">
      <c r="A86" s="39">
        <v>82</v>
      </c>
      <c r="B86" s="23" t="s">
        <v>864</v>
      </c>
      <c r="C86" s="40" t="s">
        <v>517</v>
      </c>
      <c r="D86" s="41" t="s">
        <v>706</v>
      </c>
      <c r="E86" s="23" t="s">
        <v>707</v>
      </c>
      <c r="F86" s="42">
        <v>1</v>
      </c>
      <c r="G86" s="43"/>
    </row>
    <row r="87" spans="1:7" s="21" customFormat="1" ht="15.95" customHeight="1">
      <c r="A87" s="39">
        <v>83</v>
      </c>
      <c r="B87" s="23" t="s">
        <v>865</v>
      </c>
      <c r="C87" s="40" t="s">
        <v>708</v>
      </c>
      <c r="D87" s="41" t="s">
        <v>709</v>
      </c>
      <c r="E87" s="23" t="s">
        <v>710</v>
      </c>
      <c r="F87" s="42">
        <v>1</v>
      </c>
      <c r="G87" s="43"/>
    </row>
    <row r="88" spans="1:7" s="21" customFormat="1" ht="15.95" customHeight="1">
      <c r="A88" s="39">
        <v>84</v>
      </c>
      <c r="B88" s="23" t="s">
        <v>866</v>
      </c>
      <c r="C88" s="40" t="s">
        <v>517</v>
      </c>
      <c r="D88" s="41" t="s">
        <v>711</v>
      </c>
      <c r="E88" s="23" t="s">
        <v>712</v>
      </c>
      <c r="F88" s="42">
        <v>1</v>
      </c>
      <c r="G88" s="43"/>
    </row>
    <row r="89" spans="1:7" s="21" customFormat="1" ht="15.95" customHeight="1">
      <c r="A89" s="39">
        <v>85</v>
      </c>
      <c r="B89" s="23" t="s">
        <v>867</v>
      </c>
      <c r="C89" s="40" t="s">
        <v>517</v>
      </c>
      <c r="D89" s="41" t="s">
        <v>713</v>
      </c>
      <c r="E89" s="23" t="s">
        <v>714</v>
      </c>
      <c r="F89" s="42">
        <v>1</v>
      </c>
      <c r="G89" s="43"/>
    </row>
    <row r="90" spans="1:7" s="21" customFormat="1" ht="15.95" customHeight="1">
      <c r="A90" s="39">
        <v>86</v>
      </c>
      <c r="B90" s="23" t="s">
        <v>868</v>
      </c>
      <c r="C90" s="40" t="s">
        <v>517</v>
      </c>
      <c r="D90" s="41" t="s">
        <v>715</v>
      </c>
      <c r="E90" s="23" t="s">
        <v>716</v>
      </c>
      <c r="F90" s="42">
        <v>1</v>
      </c>
      <c r="G90" s="43"/>
    </row>
    <row r="91" spans="1:7" s="21" customFormat="1" ht="15.95" customHeight="1">
      <c r="A91" s="39">
        <v>87</v>
      </c>
      <c r="B91" s="23" t="s">
        <v>869</v>
      </c>
      <c r="C91" s="40" t="s">
        <v>617</v>
      </c>
      <c r="D91" s="41" t="s">
        <v>717</v>
      </c>
      <c r="E91" s="23" t="s">
        <v>718</v>
      </c>
      <c r="F91" s="42" t="s">
        <v>1680</v>
      </c>
      <c r="G91" s="43"/>
    </row>
    <row r="92" spans="1:7" s="21" customFormat="1" ht="15.95" customHeight="1">
      <c r="A92" s="39">
        <v>88</v>
      </c>
      <c r="B92" s="23" t="s">
        <v>870</v>
      </c>
      <c r="C92" s="40" t="s">
        <v>517</v>
      </c>
      <c r="D92" s="41" t="s">
        <v>719</v>
      </c>
      <c r="E92" s="23" t="s">
        <v>720</v>
      </c>
      <c r="F92" s="42">
        <v>1</v>
      </c>
      <c r="G92" s="43"/>
    </row>
    <row r="93" spans="1:7" s="21" customFormat="1" ht="15.95" customHeight="1">
      <c r="A93" s="39">
        <v>89</v>
      </c>
      <c r="B93" s="23" t="s">
        <v>871</v>
      </c>
      <c r="C93" s="40" t="s">
        <v>708</v>
      </c>
      <c r="D93" s="41" t="s">
        <v>721</v>
      </c>
      <c r="E93" s="23" t="s">
        <v>722</v>
      </c>
      <c r="F93" s="42">
        <v>1</v>
      </c>
      <c r="G93" s="43"/>
    </row>
    <row r="94" spans="1:7" s="21" customFormat="1" ht="15.95" customHeight="1">
      <c r="A94" s="39">
        <v>90</v>
      </c>
      <c r="B94" s="23" t="s">
        <v>872</v>
      </c>
      <c r="C94" s="40" t="s">
        <v>511</v>
      </c>
      <c r="D94" s="41" t="s">
        <v>723</v>
      </c>
      <c r="E94" s="23" t="s">
        <v>724</v>
      </c>
      <c r="F94" s="42" t="s">
        <v>1681</v>
      </c>
      <c r="G94" s="43"/>
    </row>
    <row r="95" spans="1:7" s="21" customFormat="1" ht="15.95" customHeight="1">
      <c r="A95" s="39">
        <v>91</v>
      </c>
      <c r="B95" s="23" t="s">
        <v>873</v>
      </c>
      <c r="C95" s="40" t="s">
        <v>725</v>
      </c>
      <c r="D95" s="41" t="s">
        <v>726</v>
      </c>
      <c r="E95" s="23" t="s">
        <v>727</v>
      </c>
      <c r="F95" s="42" t="s">
        <v>1681</v>
      </c>
      <c r="G95" s="43"/>
    </row>
    <row r="96" spans="1:7" s="21" customFormat="1" ht="15.95" customHeight="1">
      <c r="A96" s="39">
        <v>92</v>
      </c>
      <c r="B96" s="23" t="s">
        <v>874</v>
      </c>
      <c r="C96" s="40" t="s">
        <v>511</v>
      </c>
      <c r="D96" s="41" t="s">
        <v>728</v>
      </c>
      <c r="E96" s="23" t="s">
        <v>729</v>
      </c>
      <c r="F96" s="42" t="s">
        <v>1681</v>
      </c>
      <c r="G96" s="43"/>
    </row>
    <row r="97" spans="1:7" s="21" customFormat="1" ht="15.95" customHeight="1">
      <c r="A97" s="39">
        <v>93</v>
      </c>
      <c r="B97" s="23" t="s">
        <v>875</v>
      </c>
      <c r="C97" s="40" t="s">
        <v>617</v>
      </c>
      <c r="D97" s="41" t="s">
        <v>730</v>
      </c>
      <c r="E97" s="23" t="s">
        <v>731</v>
      </c>
      <c r="F97" s="42" t="s">
        <v>1680</v>
      </c>
      <c r="G97" s="43"/>
    </row>
    <row r="98" spans="1:7" s="21" customFormat="1" ht="15.95" customHeight="1">
      <c r="A98" s="39">
        <v>94</v>
      </c>
      <c r="B98" s="23" t="s">
        <v>876</v>
      </c>
      <c r="C98" s="40" t="s">
        <v>517</v>
      </c>
      <c r="D98" s="41" t="s">
        <v>732</v>
      </c>
      <c r="E98" s="23" t="s">
        <v>733</v>
      </c>
      <c r="F98" s="42">
        <v>1</v>
      </c>
      <c r="G98" s="43"/>
    </row>
    <row r="99" spans="1:7" s="21" customFormat="1" ht="15.95" customHeight="1">
      <c r="A99" s="39">
        <v>95</v>
      </c>
      <c r="B99" s="23" t="s">
        <v>877</v>
      </c>
      <c r="C99" s="40" t="s">
        <v>734</v>
      </c>
      <c r="D99" s="41" t="s">
        <v>735</v>
      </c>
      <c r="E99" s="23" t="s">
        <v>736</v>
      </c>
      <c r="F99" s="42" t="s">
        <v>1681</v>
      </c>
      <c r="G99" s="43"/>
    </row>
    <row r="100" spans="1:7" s="21" customFormat="1" ht="15.95" customHeight="1">
      <c r="A100" s="39">
        <v>96</v>
      </c>
      <c r="B100" s="23" t="s">
        <v>878</v>
      </c>
      <c r="C100" s="40" t="s">
        <v>517</v>
      </c>
      <c r="D100" s="41" t="s">
        <v>737</v>
      </c>
      <c r="E100" s="23" t="s">
        <v>738</v>
      </c>
      <c r="F100" s="42">
        <v>1</v>
      </c>
      <c r="G100" s="43"/>
    </row>
    <row r="101" spans="1:7" s="21" customFormat="1" ht="15.95" customHeight="1">
      <c r="A101" s="39">
        <v>97</v>
      </c>
      <c r="B101" s="23" t="s">
        <v>879</v>
      </c>
      <c r="C101" s="40" t="s">
        <v>617</v>
      </c>
      <c r="D101" s="41" t="s">
        <v>739</v>
      </c>
      <c r="E101" s="23" t="s">
        <v>740</v>
      </c>
      <c r="F101" s="42" t="s">
        <v>1680</v>
      </c>
      <c r="G101" s="43"/>
    </row>
    <row r="102" spans="1:7" s="21" customFormat="1" ht="15.95" customHeight="1">
      <c r="A102" s="39">
        <v>98</v>
      </c>
      <c r="B102" s="23" t="s">
        <v>880</v>
      </c>
      <c r="C102" s="40" t="s">
        <v>629</v>
      </c>
      <c r="D102" s="41" t="s">
        <v>741</v>
      </c>
      <c r="E102" s="23" t="s">
        <v>742</v>
      </c>
      <c r="F102" s="42" t="s">
        <v>1680</v>
      </c>
      <c r="G102" s="43"/>
    </row>
    <row r="103" spans="1:7" s="21" customFormat="1" ht="15.95" customHeight="1">
      <c r="A103" s="39">
        <v>99</v>
      </c>
      <c r="B103" s="23" t="s">
        <v>881</v>
      </c>
      <c r="C103" s="40" t="s">
        <v>743</v>
      </c>
      <c r="D103" s="41" t="s">
        <v>744</v>
      </c>
      <c r="E103" s="23" t="s">
        <v>745</v>
      </c>
      <c r="F103" s="42">
        <v>1</v>
      </c>
      <c r="G103" s="43"/>
    </row>
    <row r="104" spans="1:7" s="21" customFormat="1" ht="15.95" customHeight="1">
      <c r="A104" s="39">
        <v>100</v>
      </c>
      <c r="B104" s="23" t="s">
        <v>882</v>
      </c>
      <c r="C104" s="40" t="s">
        <v>517</v>
      </c>
      <c r="D104" s="41" t="s">
        <v>746</v>
      </c>
      <c r="E104" s="23" t="s">
        <v>747</v>
      </c>
      <c r="F104" s="42">
        <v>1</v>
      </c>
      <c r="G104" s="43"/>
    </row>
    <row r="105" spans="1:7" s="21" customFormat="1" ht="15.95" customHeight="1">
      <c r="A105" s="39">
        <v>101</v>
      </c>
      <c r="B105" s="23" t="s">
        <v>883</v>
      </c>
      <c r="C105" s="40" t="s">
        <v>517</v>
      </c>
      <c r="D105" s="41" t="s">
        <v>748</v>
      </c>
      <c r="E105" s="23" t="s">
        <v>749</v>
      </c>
      <c r="F105" s="42">
        <v>1</v>
      </c>
      <c r="G105" s="43"/>
    </row>
    <row r="106" spans="1:7" s="21" customFormat="1" ht="15.95" customHeight="1">
      <c r="A106" s="39">
        <v>102</v>
      </c>
      <c r="B106" s="23" t="s">
        <v>884</v>
      </c>
      <c r="C106" s="40" t="s">
        <v>734</v>
      </c>
      <c r="D106" s="41" t="s">
        <v>750</v>
      </c>
      <c r="E106" s="23" t="s">
        <v>751</v>
      </c>
      <c r="F106" s="42" t="s">
        <v>1681</v>
      </c>
      <c r="G106" s="43"/>
    </row>
    <row r="107" spans="1:7" s="21" customFormat="1" ht="15.95" customHeight="1">
      <c r="A107" s="39">
        <v>103</v>
      </c>
      <c r="B107" s="23" t="s">
        <v>885</v>
      </c>
      <c r="C107" s="40" t="s">
        <v>617</v>
      </c>
      <c r="D107" s="41" t="s">
        <v>752</v>
      </c>
      <c r="E107" s="23" t="s">
        <v>753</v>
      </c>
      <c r="F107" s="42" t="s">
        <v>1680</v>
      </c>
      <c r="G107" s="43"/>
    </row>
    <row r="108" spans="1:7" s="21" customFormat="1" ht="15.95" customHeight="1">
      <c r="A108" s="39">
        <v>104</v>
      </c>
      <c r="B108" s="23" t="s">
        <v>886</v>
      </c>
      <c r="C108" s="40" t="s">
        <v>517</v>
      </c>
      <c r="D108" s="41" t="s">
        <v>754</v>
      </c>
      <c r="E108" s="23" t="s">
        <v>755</v>
      </c>
      <c r="F108" s="42">
        <v>1</v>
      </c>
      <c r="G108" s="43"/>
    </row>
    <row r="109" spans="1:7" s="21" customFormat="1" ht="15.95" customHeight="1">
      <c r="A109" s="39">
        <v>105</v>
      </c>
      <c r="B109" s="23" t="s">
        <v>887</v>
      </c>
      <c r="C109" s="40" t="s">
        <v>756</v>
      </c>
      <c r="D109" s="41" t="s">
        <v>757</v>
      </c>
      <c r="E109" s="23" t="s">
        <v>758</v>
      </c>
      <c r="F109" s="42" t="s">
        <v>1680</v>
      </c>
      <c r="G109" s="43"/>
    </row>
    <row r="110" spans="1:7" s="21" customFormat="1" ht="15.95" customHeight="1">
      <c r="A110" s="39">
        <v>106</v>
      </c>
      <c r="B110" s="23" t="s">
        <v>888</v>
      </c>
      <c r="C110" s="40" t="s">
        <v>759</v>
      </c>
      <c r="D110" s="41" t="s">
        <v>760</v>
      </c>
      <c r="E110" s="23" t="s">
        <v>761</v>
      </c>
      <c r="F110" s="42">
        <v>1</v>
      </c>
      <c r="G110" s="43"/>
    </row>
    <row r="111" spans="1:7" s="21" customFormat="1" ht="15.95" customHeight="1">
      <c r="A111" s="39">
        <v>107</v>
      </c>
      <c r="B111" s="23" t="s">
        <v>889</v>
      </c>
      <c r="C111" s="40" t="s">
        <v>762</v>
      </c>
      <c r="D111" s="41" t="s">
        <v>763</v>
      </c>
      <c r="E111" s="23" t="s">
        <v>764</v>
      </c>
      <c r="F111" s="42">
        <v>1</v>
      </c>
      <c r="G111" s="43"/>
    </row>
    <row r="112" spans="1:7" s="21" customFormat="1" ht="15.95" customHeight="1">
      <c r="A112" s="39">
        <v>108</v>
      </c>
      <c r="B112" s="23" t="s">
        <v>890</v>
      </c>
      <c r="C112" s="40" t="s">
        <v>617</v>
      </c>
      <c r="D112" s="41" t="s">
        <v>765</v>
      </c>
      <c r="E112" s="23" t="s">
        <v>766</v>
      </c>
      <c r="F112" s="42" t="s">
        <v>1680</v>
      </c>
      <c r="G112" s="43"/>
    </row>
    <row r="113" spans="1:7" s="21" customFormat="1" ht="15.95" customHeight="1">
      <c r="A113" s="39">
        <v>109</v>
      </c>
      <c r="B113" s="23" t="s">
        <v>891</v>
      </c>
      <c r="C113" s="40" t="s">
        <v>517</v>
      </c>
      <c r="D113" s="41" t="s">
        <v>767</v>
      </c>
      <c r="E113" s="23" t="s">
        <v>768</v>
      </c>
      <c r="F113" s="42">
        <v>1</v>
      </c>
      <c r="G113" s="43"/>
    </row>
    <row r="114" spans="1:7" s="21" customFormat="1" ht="15.95" customHeight="1">
      <c r="A114" s="39">
        <v>110</v>
      </c>
      <c r="B114" s="23" t="s">
        <v>892</v>
      </c>
      <c r="C114" s="40" t="s">
        <v>517</v>
      </c>
      <c r="D114" s="41" t="s">
        <v>769</v>
      </c>
      <c r="E114" s="23" t="s">
        <v>770</v>
      </c>
      <c r="F114" s="42">
        <v>1</v>
      </c>
      <c r="G114" s="43"/>
    </row>
    <row r="115" spans="1:7" s="21" customFormat="1" ht="15.95" customHeight="1">
      <c r="A115" s="39">
        <v>111</v>
      </c>
      <c r="B115" s="23" t="s">
        <v>893</v>
      </c>
      <c r="C115" s="40" t="s">
        <v>771</v>
      </c>
      <c r="D115" s="41" t="s">
        <v>772</v>
      </c>
      <c r="E115" s="23" t="s">
        <v>773</v>
      </c>
      <c r="F115" s="42" t="s">
        <v>1680</v>
      </c>
      <c r="G115" s="43"/>
    </row>
    <row r="116" spans="1:7" s="21" customFormat="1" ht="15.95" customHeight="1">
      <c r="A116" s="39">
        <v>112</v>
      </c>
      <c r="B116" s="23" t="s">
        <v>894</v>
      </c>
      <c r="C116" s="40" t="s">
        <v>617</v>
      </c>
      <c r="D116" s="41" t="s">
        <v>774</v>
      </c>
      <c r="E116" s="23" t="s">
        <v>775</v>
      </c>
      <c r="F116" s="42" t="s">
        <v>1680</v>
      </c>
      <c r="G116" s="43"/>
    </row>
    <row r="117" spans="1:7" s="21" customFormat="1" ht="15.95" customHeight="1">
      <c r="A117" s="39">
        <v>113</v>
      </c>
      <c r="B117" s="23" t="s">
        <v>895</v>
      </c>
      <c r="C117" s="40" t="s">
        <v>617</v>
      </c>
      <c r="D117" s="41" t="s">
        <v>776</v>
      </c>
      <c r="E117" s="23" t="s">
        <v>777</v>
      </c>
      <c r="F117" s="42" t="s">
        <v>1680</v>
      </c>
      <c r="G117" s="43"/>
    </row>
    <row r="118" spans="1:7" s="21" customFormat="1" ht="15.95" customHeight="1">
      <c r="A118" s="39">
        <v>114</v>
      </c>
      <c r="B118" s="23" t="s">
        <v>896</v>
      </c>
      <c r="C118" s="40" t="s">
        <v>778</v>
      </c>
      <c r="D118" s="41" t="s">
        <v>779</v>
      </c>
      <c r="E118" s="23" t="s">
        <v>780</v>
      </c>
      <c r="F118" s="42">
        <v>1</v>
      </c>
      <c r="G118" s="43"/>
    </row>
    <row r="119" spans="1:7" s="21" customFormat="1" ht="15.95" customHeight="1">
      <c r="A119" s="39">
        <v>115</v>
      </c>
      <c r="B119" s="23" t="s">
        <v>897</v>
      </c>
      <c r="C119" s="40" t="s">
        <v>781</v>
      </c>
      <c r="D119" s="41" t="s">
        <v>782</v>
      </c>
      <c r="E119" s="23" t="s">
        <v>783</v>
      </c>
      <c r="F119" s="42" t="s">
        <v>1681</v>
      </c>
      <c r="G119" s="43"/>
    </row>
    <row r="120" spans="1:7" s="21" customFormat="1" ht="15.95" customHeight="1">
      <c r="A120" s="39">
        <v>116</v>
      </c>
      <c r="B120" s="23" t="s">
        <v>898</v>
      </c>
      <c r="C120" s="40" t="s">
        <v>517</v>
      </c>
      <c r="D120" s="41" t="s">
        <v>784</v>
      </c>
      <c r="E120" s="23" t="s">
        <v>785</v>
      </c>
      <c r="F120" s="42">
        <v>1</v>
      </c>
      <c r="G120" s="43"/>
    </row>
    <row r="121" spans="1:7" s="21" customFormat="1" ht="15.95" customHeight="1">
      <c r="A121" s="39">
        <v>117</v>
      </c>
      <c r="B121" s="23" t="s">
        <v>899</v>
      </c>
      <c r="C121" s="40" t="s">
        <v>517</v>
      </c>
      <c r="D121" s="41" t="s">
        <v>786</v>
      </c>
      <c r="E121" s="23" t="s">
        <v>787</v>
      </c>
      <c r="F121" s="42">
        <v>1</v>
      </c>
      <c r="G121" s="43"/>
    </row>
    <row r="122" spans="1:7" s="21" customFormat="1" ht="15.95" customHeight="1">
      <c r="A122" s="39">
        <v>118</v>
      </c>
      <c r="B122" s="23" t="s">
        <v>900</v>
      </c>
      <c r="C122" s="40" t="s">
        <v>517</v>
      </c>
      <c r="D122" s="41" t="s">
        <v>788</v>
      </c>
      <c r="E122" s="23" t="s">
        <v>789</v>
      </c>
      <c r="F122" s="42">
        <v>1</v>
      </c>
      <c r="G122" s="43"/>
    </row>
    <row r="123" spans="1:7" s="21" customFormat="1" ht="15.95" customHeight="1">
      <c r="A123" s="39">
        <v>119</v>
      </c>
      <c r="B123" s="23" t="s">
        <v>901</v>
      </c>
      <c r="C123" s="40" t="s">
        <v>790</v>
      </c>
      <c r="D123" s="41" t="s">
        <v>791</v>
      </c>
      <c r="E123" s="23" t="s">
        <v>792</v>
      </c>
      <c r="F123" s="42" t="s">
        <v>1681</v>
      </c>
      <c r="G123" s="43"/>
    </row>
  </sheetData>
  <autoFilter ref="A4:G123"/>
  <sortState ref="A5:F949">
    <sortCondition ref="D5:D949"/>
    <sortCondition ref="B5:B949"/>
  </sortState>
  <mergeCells count="2">
    <mergeCell ref="A1:G1"/>
    <mergeCell ref="A2:G3"/>
  </mergeCells>
  <hyperlinks>
    <hyperlink ref="E5" r:id="rId1"/>
    <hyperlink ref="E6" r:id="rId2"/>
    <hyperlink ref="E7" r:id="rId3"/>
    <hyperlink ref="E8" r:id="rId4"/>
    <hyperlink ref="E9" r:id="rId5"/>
    <hyperlink ref="E10" r:id="rId6"/>
    <hyperlink ref="E11" r:id="rId7"/>
    <hyperlink ref="E12" r:id="rId8"/>
    <hyperlink ref="E13" r:id="rId9"/>
    <hyperlink ref="E14" r:id="rId10"/>
    <hyperlink ref="E15" r:id="rId11"/>
    <hyperlink ref="E16" r:id="rId12"/>
    <hyperlink ref="E17" r:id="rId13"/>
    <hyperlink ref="E18" r:id="rId14"/>
    <hyperlink ref="E19" r:id="rId15"/>
    <hyperlink ref="E20" r:id="rId16"/>
    <hyperlink ref="E21" r:id="rId17"/>
    <hyperlink ref="E22" r:id="rId18"/>
    <hyperlink ref="E23" r:id="rId19"/>
    <hyperlink ref="E24" r:id="rId20"/>
    <hyperlink ref="E25" r:id="rId21"/>
    <hyperlink ref="E26" r:id="rId22"/>
    <hyperlink ref="E27" r:id="rId23"/>
    <hyperlink ref="E28" r:id="rId24"/>
    <hyperlink ref="E29" r:id="rId25"/>
    <hyperlink ref="E30" r:id="rId26"/>
    <hyperlink ref="E31" r:id="rId27"/>
    <hyperlink ref="E32" r:id="rId28"/>
    <hyperlink ref="E33" r:id="rId29"/>
    <hyperlink ref="E34" r:id="rId30"/>
    <hyperlink ref="E35" r:id="rId31"/>
    <hyperlink ref="E36" r:id="rId32"/>
    <hyperlink ref="E37" r:id="rId33"/>
    <hyperlink ref="E38" r:id="rId34"/>
    <hyperlink ref="E39" r:id="rId35"/>
    <hyperlink ref="E40" r:id="rId36"/>
    <hyperlink ref="E41" r:id="rId37"/>
    <hyperlink ref="E42" r:id="rId38"/>
    <hyperlink ref="E43" r:id="rId39"/>
    <hyperlink ref="E44" r:id="rId40"/>
    <hyperlink ref="E45" r:id="rId41"/>
    <hyperlink ref="E46" r:id="rId42"/>
    <hyperlink ref="E47" r:id="rId43"/>
    <hyperlink ref="E48" r:id="rId44"/>
    <hyperlink ref="E49" r:id="rId45"/>
    <hyperlink ref="E50" r:id="rId46"/>
    <hyperlink ref="E51" r:id="rId47"/>
    <hyperlink ref="E52" r:id="rId48"/>
    <hyperlink ref="E53" r:id="rId49"/>
    <hyperlink ref="E54" r:id="rId50"/>
    <hyperlink ref="E55" r:id="rId51"/>
    <hyperlink ref="E56" r:id="rId52"/>
    <hyperlink ref="E57" r:id="rId53"/>
    <hyperlink ref="E58" r:id="rId54"/>
    <hyperlink ref="E59" r:id="rId55"/>
    <hyperlink ref="E60" r:id="rId56"/>
    <hyperlink ref="E61" r:id="rId57"/>
    <hyperlink ref="E62" r:id="rId58"/>
    <hyperlink ref="E63" r:id="rId59"/>
    <hyperlink ref="E64" r:id="rId60"/>
    <hyperlink ref="E65" r:id="rId61"/>
    <hyperlink ref="E66" r:id="rId62"/>
    <hyperlink ref="E67" r:id="rId63"/>
    <hyperlink ref="E68" r:id="rId64"/>
    <hyperlink ref="E69" r:id="rId65"/>
    <hyperlink ref="E70" r:id="rId66"/>
    <hyperlink ref="E71" r:id="rId67"/>
    <hyperlink ref="E72" r:id="rId68"/>
    <hyperlink ref="E73" r:id="rId69"/>
    <hyperlink ref="E74" r:id="rId70"/>
    <hyperlink ref="E75" r:id="rId71"/>
    <hyperlink ref="E76" r:id="rId72"/>
    <hyperlink ref="E77" r:id="rId73"/>
    <hyperlink ref="E78" r:id="rId74"/>
    <hyperlink ref="E79" r:id="rId75"/>
    <hyperlink ref="E80" r:id="rId76"/>
    <hyperlink ref="E81" r:id="rId77"/>
    <hyperlink ref="E82" r:id="rId78"/>
    <hyperlink ref="E83" r:id="rId79"/>
    <hyperlink ref="E84" r:id="rId80"/>
    <hyperlink ref="E85" r:id="rId81"/>
    <hyperlink ref="E86" r:id="rId82"/>
    <hyperlink ref="E87" r:id="rId83"/>
    <hyperlink ref="E88" r:id="rId84"/>
    <hyperlink ref="E89" r:id="rId85"/>
    <hyperlink ref="E90" r:id="rId86"/>
    <hyperlink ref="E91" r:id="rId87"/>
    <hyperlink ref="E92" r:id="rId88"/>
    <hyperlink ref="E93" r:id="rId89"/>
    <hyperlink ref="E94" r:id="rId90"/>
    <hyperlink ref="E95" r:id="rId91"/>
    <hyperlink ref="E96" r:id="rId92"/>
    <hyperlink ref="E97" r:id="rId93"/>
    <hyperlink ref="E98" r:id="rId94"/>
    <hyperlink ref="E99" r:id="rId95"/>
    <hyperlink ref="E100" r:id="rId96"/>
    <hyperlink ref="E101" r:id="rId97"/>
    <hyperlink ref="E102" r:id="rId98"/>
    <hyperlink ref="E103" r:id="rId99"/>
    <hyperlink ref="E104" r:id="rId100"/>
    <hyperlink ref="E105" r:id="rId101"/>
    <hyperlink ref="E106" r:id="rId102"/>
    <hyperlink ref="E107" r:id="rId103"/>
    <hyperlink ref="E108" r:id="rId104"/>
    <hyperlink ref="E109" r:id="rId105"/>
    <hyperlink ref="E110" r:id="rId106"/>
    <hyperlink ref="E111" r:id="rId107"/>
    <hyperlink ref="E112" r:id="rId108"/>
    <hyperlink ref="E113" r:id="rId109"/>
    <hyperlink ref="E114" r:id="rId110"/>
    <hyperlink ref="E115" r:id="rId111"/>
    <hyperlink ref="E116" r:id="rId112"/>
    <hyperlink ref="E117" r:id="rId113"/>
    <hyperlink ref="E118" r:id="rId114"/>
    <hyperlink ref="E119" r:id="rId115"/>
    <hyperlink ref="E120" r:id="rId116"/>
    <hyperlink ref="E121" r:id="rId117"/>
    <hyperlink ref="E122" r:id="rId118"/>
    <hyperlink ref="E123" r:id="rId119"/>
    <hyperlink ref="B123" r:id="rId120" display="https://anzctr.org.au/Trial/Registration/TrialReview.aspx?ACTRN=12621001059853"/>
    <hyperlink ref="B122" r:id="rId121" display="https://center6.umin.ac.jp/cgi-open-bin/ctr_e/ctr_view.cgi?recptno=R0000520866"/>
    <hyperlink ref="B121" r:id="rId122" display="https://jrct.niph.go.jp/en-latest-detail/jRCT2031210309"/>
    <hyperlink ref="B120" r:id="rId123" display="https://jrct.niph.go.jp/en-latest-detail/jRCTs031230296"/>
    <hyperlink ref="B119" r:id="rId124" display="https://drks.de/search/de/trial/DRKS00020522"/>
    <hyperlink ref="B118" r:id="rId125" display="https://drks.de/search/de/trial/DRKS00032712"/>
    <hyperlink ref="B117" r:id="rId126" display="https://drks.de/search/de/trial/DRKS00034189"/>
    <hyperlink ref="B116" r:id="rId127" display="https://drks.de/search/de/trial/DRKS00027556"/>
    <hyperlink ref="B115" r:id="rId128" display="https://drks.de/search/de/trial/DRKS00017736"/>
    <hyperlink ref="B114" r:id="rId129" display="https://pubmed.ncbi.nlm.nih.gov/31493539"/>
    <hyperlink ref="B113" r:id="rId130" display="https://pubmed.ncbi.nlm.nih.gov/31228628"/>
    <hyperlink ref="B112" r:id="rId131" display="https://pubmed.ncbi.nlm.nih.gov/31445098"/>
    <hyperlink ref="B111" r:id="rId132" display="https://pubmed.ncbi.nlm.nih.gov/31572362"/>
    <hyperlink ref="B110" r:id="rId133" display="https://pubmed.ncbi.nlm.nih.gov/31621458"/>
    <hyperlink ref="B109" r:id="rId134" display="https://pubmed.ncbi.nlm.nih.gov/31689275"/>
    <hyperlink ref="B108" r:id="rId135" display="https://pubmed.ncbi.nlm.nih.gov/31847720"/>
    <hyperlink ref="B107" r:id="rId136" display="https://pubmed.ncbi.nlm.nih.gov/31921145"/>
    <hyperlink ref="B106" r:id="rId137" display="https://pubmed.ncbi.nlm.nih.gov/31629014"/>
    <hyperlink ref="B105" r:id="rId138" display="https://pubmed.ncbi.nlm.nih.gov/31814328"/>
    <hyperlink ref="B104" r:id="rId139" display="https://pubmed.ncbi.nlm.nih.gov/31910997"/>
    <hyperlink ref="B103" r:id="rId140" display="https://pubmed.ncbi.nlm.nih.gov/32603431"/>
    <hyperlink ref="B102" r:id="rId141" display="https://pubmed.ncbi.nlm.nih.gov/33115853"/>
    <hyperlink ref="B101" r:id="rId142" display="https://pubmed.ncbi.nlm.nih.gov/33223097"/>
    <hyperlink ref="B100" r:id="rId143" display="https://pubmed.ncbi.nlm.nih.gov/33409867"/>
    <hyperlink ref="B99" r:id="rId144" display="https://pubmed.ncbi.nlm.nih.gov/33662367"/>
    <hyperlink ref="B98" r:id="rId145" display="https://pubmed.ncbi.nlm.nih.gov/33738703"/>
    <hyperlink ref="B97" r:id="rId146" display="https://pubmed.ncbi.nlm.nih.gov/33737935"/>
    <hyperlink ref="B96" r:id="rId147" display="https://pubmed.ncbi.nlm.nih.gov/33855675"/>
    <hyperlink ref="B95" r:id="rId148" display="https://pubmed.ncbi.nlm.nih.gov/33876203"/>
    <hyperlink ref="B94" r:id="rId149" display="https://pubmed.ncbi.nlm.nih.gov/33974038"/>
    <hyperlink ref="B93" r:id="rId150" display="https://pubmed.ncbi.nlm.nih.gov/34060650"/>
    <hyperlink ref="B92" r:id="rId151" display="https://pubmed.ncbi.nlm.nih.gov/34305948"/>
    <hyperlink ref="B91" r:id="rId152" display="https://pubmed.ncbi.nlm.nih.gov/34599947"/>
    <hyperlink ref="B90" r:id="rId153" display="https://pubmed.ncbi.nlm.nih.gov/34587873"/>
    <hyperlink ref="B89" r:id="rId154" display="https://pubmed.ncbi.nlm.nih.gov/34931880"/>
    <hyperlink ref="B88" r:id="rId155" display="https://pubmed.ncbi.nlm.nih.gov/35008008"/>
    <hyperlink ref="B87" r:id="rId156" display="https://pubmed.ncbi.nlm.nih.gov/35058929"/>
    <hyperlink ref="B86" r:id="rId157" display="https://pubmed.ncbi.nlm.nih.gov/35121105"/>
    <hyperlink ref="B85" r:id="rId158" display="https://pubmed.ncbi.nlm.nih.gov/35671392"/>
    <hyperlink ref="B84" r:id="rId159" display="https://pubmed.ncbi.nlm.nih.gov/35764638"/>
    <hyperlink ref="B83" r:id="rId160" display="https://pubmed.ncbi.nlm.nih.gov/35914227"/>
    <hyperlink ref="B82" r:id="rId161" display="https://pubmed.ncbi.nlm.nih.gov/35944615"/>
    <hyperlink ref="B81" r:id="rId162" display="https://pubmed.ncbi.nlm.nih.gov/36128795"/>
    <hyperlink ref="B80" r:id="rId163" display="https://pubmed.ncbi.nlm.nih.gov/36546626"/>
    <hyperlink ref="B79" r:id="rId164" display="https://pubmed.ncbi.nlm.nih.gov/36399712"/>
    <hyperlink ref="B78" r:id="rId165" display="https://pubmed.ncbi.nlm.nih.gov/36818468"/>
    <hyperlink ref="B77" r:id="rId166" display="https://pubmed.ncbi.nlm.nih.gov/38972509"/>
    <hyperlink ref="B75" r:id="rId167" display="https://www.isrctn.com/ISRCTN11859866"/>
    <hyperlink ref="B74" r:id="rId168" display="https://clinicaltrials.gov/study/NCT06565078"/>
    <hyperlink ref="B73" r:id="rId169" display="https://clinicaltrials.gov/study/NCT06549114"/>
    <hyperlink ref="B72" r:id="rId170" display="https://clinicaltrials.gov/study/NCT06519734"/>
    <hyperlink ref="B71" r:id="rId171" display="https://clinicaltrials.gov/study/NCT06355323"/>
    <hyperlink ref="B70" r:id="rId172" display="https://clinicaltrials.gov/study/NCT06249997"/>
    <hyperlink ref="B69" r:id="rId173" display="https://clinicaltrials.gov/study/NCT06173128"/>
    <hyperlink ref="B68" r:id="rId174" display="https://clinicaltrials.gov/study/NCT06150833"/>
    <hyperlink ref="B67" r:id="rId175" display="https://clinicaltrials.gov/study/NCT06150534"/>
    <hyperlink ref="B66" r:id="rId176" display="https://clinicaltrials.gov/study/NCT06145100"/>
    <hyperlink ref="B65" r:id="rId177" display="https://clinicaltrials.gov/study/NCT06092528"/>
    <hyperlink ref="B64" r:id="rId178" display="https://clinicaltrials.gov/study/NCT06089122"/>
    <hyperlink ref="B63" r:id="rId179" display="https://clinicaltrials.gov/study/NCT06076642"/>
    <hyperlink ref="B62" r:id="rId180" display="https://clinicaltrials.gov/study/NCT06014463"/>
    <hyperlink ref="B61" r:id="rId181" display="https://clinicaltrials.gov/study/NCT05999422"/>
    <hyperlink ref="B60" r:id="rId182" display="https://clinicaltrials.gov/study/NCT05755035"/>
    <hyperlink ref="B58" r:id="rId183" display="https://clinicaltrials.gov/study/NCT05651113"/>
    <hyperlink ref="B57" r:id="rId184" display="https://clinicaltrials.gov/study/NCT05593588"/>
    <hyperlink ref="B56" r:id="rId185" display="https://clinicaltrials.gov/study/NCT05513586"/>
    <hyperlink ref="B55" r:id="rId186" display="https://clinicaltrials.gov/study/NCT05481554"/>
    <hyperlink ref="B51" r:id="rId187" display="https://clinicaltrials.gov/study/NCT05298930"/>
    <hyperlink ref="B50" r:id="rId188" display="https://clinicaltrials.gov/study/NCT05236764"/>
    <hyperlink ref="B49" r:id="rId189" display="https://clinicaltrials.gov/study/NCT05193552"/>
    <hyperlink ref="B48" r:id="rId190" display="https://clinicaltrials.gov/study/NCT05150340"/>
    <hyperlink ref="B46" r:id="rId191" display="https://clinicaltrials.gov/study/NCT05070455"/>
    <hyperlink ref="B45" r:id="rId192" display="https://clinicaltrials.gov/study/NCT05040256"/>
    <hyperlink ref="B44" r:id="rId193" display="https://clinicaltrials.gov/study/NCT04959890"/>
    <hyperlink ref="B43" r:id="rId194" display="https://clinicaltrials.gov/study/NCT04944979"/>
    <hyperlink ref="B42" r:id="rId195" display="https://clinicaltrials.gov/study/NCT04925375"/>
    <hyperlink ref="B41" r:id="rId196" display="https://clinicaltrials.gov/study/NCT04919018"/>
    <hyperlink ref="B40" r:id="rId197" display="https://clinicaltrials.gov/study/NCT04902807"/>
    <hyperlink ref="B39" r:id="rId198" display="https://clinicaltrials.gov/study/NCT04864886"/>
    <hyperlink ref="B38" r:id="rId199" display="https://clinicaltrials.gov/study/NCT04842643"/>
    <hyperlink ref="B37" r:id="rId200" display="https://clinicaltrials.gov/study/NCT04797260"/>
    <hyperlink ref="B36" r:id="rId201" display="https://clinicaltrials.gov/study/NCT04784364"/>
    <hyperlink ref="B35" r:id="rId202" display="https://clinicaltrials.gov/study/NCT04702243"/>
    <hyperlink ref="B34" r:id="rId203" display="https://clinicaltrials.gov/study/NCT04691622"/>
    <hyperlink ref="B33" r:id="rId204" display="https://clinicaltrials.gov/study/NCT04640142"/>
    <hyperlink ref="B32" r:id="rId205" display="https://clinicaltrials.gov/study/NCT04581460"/>
    <hyperlink ref="B31" r:id="rId206" display="https://clinicaltrials.gov/study/NCT04566692"/>
    <hyperlink ref="B29" r:id="rId207" display="https://clinicaltrials.gov/study/NCT04561115"/>
    <hyperlink ref="B28" r:id="rId208" display="https://clinicaltrials.gov/study/NCT04554914"/>
    <hyperlink ref="B27" r:id="rId209" display="https://clinicaltrials.gov/study/NCT04528355"/>
    <hyperlink ref="B26" r:id="rId210" display="https://clinicaltrials.gov/study/NCT04414046"/>
    <hyperlink ref="B25" r:id="rId211" display="https://clinicaltrials.gov/study/NCT04370795"/>
    <hyperlink ref="B24" r:id="rId212" display="https://clinicaltrials.gov/study/NCT04356053"/>
    <hyperlink ref="B23" r:id="rId213" display="https://clinicaltrials.gov/study/NCT04354129"/>
    <hyperlink ref="B21" r:id="rId214" display="https://clinicaltrials.gov/study/NCT04339777"/>
    <hyperlink ref="B20" r:id="rId215" display="https://clinicaltrials.gov/study/NCT04246840"/>
    <hyperlink ref="B19" r:id="rId216" display="https://clinicaltrials.gov/study/NCT04232085"/>
    <hyperlink ref="B18" r:id="rId217" display="https://clinicaltrials.gov/study/NCT04197596"/>
    <hyperlink ref="B16" r:id="rId218" display="https://clinicaltrials.gov/study/NCT04049084"/>
    <hyperlink ref="B15" r:id="rId219" display="https://clinicaltrials.gov/study/NCT03939533"/>
    <hyperlink ref="B14" r:id="rId220" display="https://clinicaltrials.gov/study/NCT03879876"/>
    <hyperlink ref="B13" r:id="rId221" display="https://clinicaltrials.gov/study/NCT03866538"/>
    <hyperlink ref="B12" r:id="rId222" display="https://clinicaltrials.gov/study/NCT03836690"/>
    <hyperlink ref="B10" r:id="rId223" display="https://clinicaltrials.gov/study/NCT03733067"/>
    <hyperlink ref="B9" r:id="rId224" display="https://clinicaltrials.gov/study/NCT03597594"/>
    <hyperlink ref="B8" r:id="rId225" display="https://clinicaltrials.gov/study/NCT03266653"/>
    <hyperlink ref="B7" r:id="rId226" display="https://clinicaltrials.gov/study/NCT01196702"/>
    <hyperlink ref="B6" r:id="rId227" display="https://clinicaltrials.gov/study/NCT04990908"/>
    <hyperlink ref="B5" r:id="rId228" display="https://clinicaltrials.gov/study/NCT03278912"/>
    <hyperlink ref="B17" r:id="rId229"/>
    <hyperlink ref="B22" r:id="rId230"/>
    <hyperlink ref="B30" r:id="rId231"/>
    <hyperlink ref="B47" r:id="rId232"/>
    <hyperlink ref="B52" r:id="rId233"/>
    <hyperlink ref="B53" r:id="rId234"/>
    <hyperlink ref="B54" r:id="rId235"/>
    <hyperlink ref="B59" r:id="rId236"/>
    <hyperlink ref="B76" r:id="rId237"/>
  </hyperlinks>
  <pageMargins left="0.7" right="0.7" top="0.75" bottom="0.75" header="0" footer="0"/>
  <pageSetup orientation="portrait" r:id="rId23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ummaryRight="0"/>
  </sheetPr>
  <dimension ref="A1:I54"/>
  <sheetViews>
    <sheetView showGridLines="0" zoomScaleNormal="100" workbookViewId="0">
      <pane xSplit="2" ySplit="4" topLeftCell="C5" activePane="bottomRight" state="frozen"/>
      <selection pane="topRight"/>
      <selection pane="bottomLeft"/>
      <selection pane="bottomRight" activeCell="C5" sqref="C5"/>
    </sheetView>
  </sheetViews>
  <sheetFormatPr defaultColWidth="14.140625" defaultRowHeight="15" customHeight="1"/>
  <cols>
    <col min="1" max="1" width="6.140625" customWidth="1"/>
    <col min="2" max="2" width="52" customWidth="1"/>
    <col min="3" max="3" width="24.140625" customWidth="1"/>
    <col min="4" max="5" width="15.85546875" customWidth="1"/>
    <col min="6" max="6" width="35.5703125" customWidth="1"/>
    <col min="7" max="7" width="32.5703125" customWidth="1"/>
    <col min="8" max="9" width="15.85546875" customWidth="1"/>
  </cols>
  <sheetData>
    <row r="1" spans="1:9" ht="24.75" customHeight="1">
      <c r="A1" s="69" t="s">
        <v>0</v>
      </c>
      <c r="B1" s="70"/>
      <c r="C1" s="70"/>
      <c r="D1" s="70"/>
      <c r="E1" s="70"/>
      <c r="F1" s="70"/>
      <c r="G1" s="70"/>
      <c r="H1" s="70"/>
      <c r="I1" s="70"/>
    </row>
    <row r="2" spans="1:9" ht="15" customHeight="1">
      <c r="A2" s="71" t="s">
        <v>19</v>
      </c>
      <c r="B2" s="72"/>
      <c r="C2" s="72"/>
      <c r="D2" s="72"/>
      <c r="E2" s="72"/>
      <c r="F2" s="72"/>
      <c r="G2" s="72"/>
      <c r="H2" s="72"/>
      <c r="I2" s="72"/>
    </row>
    <row r="3" spans="1:9" ht="15" customHeight="1">
      <c r="A3" s="72"/>
      <c r="B3" s="72"/>
      <c r="C3" s="72"/>
      <c r="D3" s="72"/>
      <c r="E3" s="72"/>
      <c r="F3" s="72"/>
      <c r="G3" s="72"/>
      <c r="H3" s="72"/>
      <c r="I3" s="72"/>
    </row>
    <row r="4" spans="1:9" ht="28.5" customHeight="1">
      <c r="A4" s="7" t="s">
        <v>2</v>
      </c>
      <c r="B4" s="11" t="s">
        <v>20</v>
      </c>
      <c r="C4" s="11" t="s">
        <v>1192</v>
      </c>
      <c r="D4" s="7" t="s">
        <v>12</v>
      </c>
      <c r="E4" s="7" t="s">
        <v>13</v>
      </c>
      <c r="F4" s="7" t="s">
        <v>5</v>
      </c>
      <c r="G4" s="11" t="s">
        <v>21</v>
      </c>
      <c r="H4" s="11" t="s">
        <v>1572</v>
      </c>
      <c r="I4" s="11" t="s">
        <v>6</v>
      </c>
    </row>
    <row r="5" spans="1:9" ht="15.95" customHeight="1">
      <c r="A5" s="35">
        <v>1</v>
      </c>
      <c r="B5" s="17" t="str">
        <f>HYPERLINK("https://www.ncbi.nlm.nih.gov/pmc/articles/PMC4083684/","A phenotypic approach for IUIS PID classification and diagnosis: guidelines for clinicians at the bedside")</f>
        <v>A phenotypic approach for IUIS PID classification and diagnosis: guidelines for clinicians at the bedside</v>
      </c>
      <c r="C5" s="4" t="s">
        <v>386</v>
      </c>
      <c r="D5" s="4" t="s">
        <v>14</v>
      </c>
      <c r="E5" s="4" t="s">
        <v>14</v>
      </c>
      <c r="F5" s="17" t="s">
        <v>1705</v>
      </c>
      <c r="G5" s="4" t="s">
        <v>1557</v>
      </c>
      <c r="H5" s="35">
        <v>1</v>
      </c>
      <c r="I5" s="4"/>
    </row>
    <row r="6" spans="1:9" ht="15.95" customHeight="1">
      <c r="A6" s="35">
        <v>2</v>
      </c>
      <c r="B6" s="17" t="str">
        <f>HYPERLINK("https://www.jacionline.org/article/S0091-6749(18)31268-5/fulltext","Consensus approach for the management of severe combined immune deficiency caused by adenosine deaminase deficiency")</f>
        <v>Consensus approach for the management of severe combined immune deficiency caused by adenosine deaminase deficiency</v>
      </c>
      <c r="C6" s="4" t="s">
        <v>1709</v>
      </c>
      <c r="D6" s="4" t="s">
        <v>14</v>
      </c>
      <c r="E6" s="4" t="s">
        <v>14</v>
      </c>
      <c r="F6" s="17" t="s">
        <v>1710</v>
      </c>
      <c r="G6" s="4" t="s">
        <v>1711</v>
      </c>
      <c r="H6" s="35" t="s">
        <v>1681</v>
      </c>
      <c r="I6" s="4"/>
    </row>
    <row r="7" spans="1:9" ht="15.95" customHeight="1">
      <c r="A7" s="35">
        <v>3</v>
      </c>
      <c r="B7" s="17" t="str">
        <f>HYPERLINK("https://www.sciencedirect.com/science/article/abs/pii/S152166169994799X?via%3Dihub","Diagnostic criteria for primary immunodeficiencies.")</f>
        <v>Diagnostic criteria for primary immunodeficiencies.</v>
      </c>
      <c r="C7" s="4" t="s">
        <v>1558</v>
      </c>
      <c r="D7" s="4" t="s">
        <v>14</v>
      </c>
      <c r="E7" s="4" t="s">
        <v>14</v>
      </c>
      <c r="F7" s="17" t="s">
        <v>1559</v>
      </c>
      <c r="G7" s="4" t="s">
        <v>1557</v>
      </c>
      <c r="H7" s="35">
        <v>1</v>
      </c>
      <c r="I7" s="4"/>
    </row>
    <row r="8" spans="1:9" ht="15.95" customHeight="1">
      <c r="A8" s="35">
        <v>4</v>
      </c>
      <c r="B8" s="17" t="str">
        <f>HYPERLINK("https://www.ncbi.nlm.nih.gov/pmc/articles/PMC7253377/","European Society for Immunodeficiencies (ESID) and European Reference Network on Rare Primary Immunodeficiency, Autoinflammatory and Autoimmune Diseases (ERN RITA) Complement Guideline: Deficiencies, Diagnosis, and Management")</f>
        <v>European Society for Immunodeficiencies (ESID) and European Reference Network on Rare Primary Immunodeficiency, Autoinflammatory and Autoimmune Diseases (ERN RITA) Complement Guideline: Deficiencies, Diagnosis, and Management</v>
      </c>
      <c r="C8" s="4" t="s">
        <v>1699</v>
      </c>
      <c r="D8" s="4" t="s">
        <v>14</v>
      </c>
      <c r="E8" s="4" t="s">
        <v>14</v>
      </c>
      <c r="F8" s="17" t="s">
        <v>1568</v>
      </c>
      <c r="G8" s="4" t="s">
        <v>1557</v>
      </c>
      <c r="H8" s="35">
        <v>1</v>
      </c>
      <c r="I8" s="4"/>
    </row>
    <row r="9" spans="1:9" ht="15.95" customHeight="1">
      <c r="A9" s="35">
        <v>5</v>
      </c>
      <c r="B9" s="17" t="str">
        <f>HYPERLINK("https://www.ncbi.nlm.nih.gov/pmc/articles/PMC9244088/pdf/10875_2022_Article_1289.pdf","Human Inborn Errors of Immunity: 2022 Update on the Classifcation from the International Union of Immunological Societies Expert Committee")</f>
        <v>Human Inborn Errors of Immunity: 2022 Update on the Classifcation from the International Union of Immunological Societies Expert Committee</v>
      </c>
      <c r="C9" s="4" t="s">
        <v>386</v>
      </c>
      <c r="D9" s="4" t="s">
        <v>14</v>
      </c>
      <c r="E9" s="4" t="s">
        <v>14</v>
      </c>
      <c r="F9" s="17" t="s">
        <v>1551</v>
      </c>
      <c r="G9" s="4" t="s">
        <v>1552</v>
      </c>
      <c r="H9" s="35">
        <v>1</v>
      </c>
      <c r="I9" s="4"/>
    </row>
    <row r="10" spans="1:9" ht="15.95" customHeight="1">
      <c r="A10" s="35">
        <v>6</v>
      </c>
      <c r="B10" s="17" t="str">
        <f>HYPERLINK("https://www.ncbi.nlm.nih.gov/pmc/articles/PMC4869529/","International Consensus Document (ICON): Common Variable Immunodeficiency Disorders")</f>
        <v>International Consensus Document (ICON): Common Variable Immunodeficiency Disorders</v>
      </c>
      <c r="C10" s="4" t="s">
        <v>1549</v>
      </c>
      <c r="D10" s="4" t="s">
        <v>14</v>
      </c>
      <c r="E10" s="4" t="s">
        <v>14</v>
      </c>
      <c r="F10" s="17" t="s">
        <v>1692</v>
      </c>
      <c r="G10" s="4" t="s">
        <v>666</v>
      </c>
      <c r="H10" s="35" t="s">
        <v>1680</v>
      </c>
      <c r="I10" s="4"/>
    </row>
    <row r="11" spans="1:9" ht="15.95" customHeight="1">
      <c r="A11" s="35">
        <v>7</v>
      </c>
      <c r="B11" s="17" t="str">
        <f>HYPERLINK("https://ipopi.org/wp-content/uploads/2017/08/IPOPI-Principles-of-Care-Implementation-Package_web.pdf","Primary Immune Deficiencies – Principles of Care")</f>
        <v>Primary Immune Deficiencies – Principles of Care</v>
      </c>
      <c r="C11" s="4" t="s">
        <v>271</v>
      </c>
      <c r="D11" s="4" t="s">
        <v>14</v>
      </c>
      <c r="E11" s="4" t="s">
        <v>14</v>
      </c>
      <c r="F11" s="17" t="s">
        <v>1706</v>
      </c>
      <c r="G11" s="4" t="s">
        <v>1557</v>
      </c>
      <c r="H11" s="35">
        <v>1</v>
      </c>
      <c r="I11" s="4"/>
    </row>
    <row r="12" spans="1:9" ht="15.95" customHeight="1">
      <c r="A12" s="35">
        <v>8</v>
      </c>
      <c r="B12" s="17" t="str">
        <f>HYPERLINK("https://www.jaci-inpractice.org/article/S2213-2198(23)00118-6/abstract","Updated Management Guidelines for Adenosine Deaminase Deficiency")</f>
        <v>Updated Management Guidelines for Adenosine Deaminase Deficiency</v>
      </c>
      <c r="C12" s="4" t="s">
        <v>1549</v>
      </c>
      <c r="D12" s="4" t="s">
        <v>14</v>
      </c>
      <c r="E12" s="4" t="s">
        <v>14</v>
      </c>
      <c r="F12" s="17" t="s">
        <v>1564</v>
      </c>
      <c r="G12" s="4" t="s">
        <v>1548</v>
      </c>
      <c r="H12" s="35" t="s">
        <v>1681</v>
      </c>
      <c r="I12" s="4"/>
    </row>
    <row r="13" spans="1:9" ht="15.95" customHeight="1">
      <c r="A13" s="35">
        <v>9</v>
      </c>
      <c r="B13" s="17" t="str">
        <f>HYPERLINK("https://www.nature.com/articles/s41409-021-01378-8","EBMT/ESID inborn errors working party guidelines for hematopoietic stem cell transplantation for inborn errors of immunity")</f>
        <v>EBMT/ESID inborn errors working party guidelines for hematopoietic stem cell transplantation for inborn errors of immunity</v>
      </c>
      <c r="C13" s="4" t="s">
        <v>1703</v>
      </c>
      <c r="D13" s="4" t="s">
        <v>114</v>
      </c>
      <c r="E13" s="4" t="s">
        <v>115</v>
      </c>
      <c r="F13" s="17" t="s">
        <v>1704</v>
      </c>
      <c r="G13" s="4" t="s">
        <v>1552</v>
      </c>
      <c r="H13" s="35">
        <v>1</v>
      </c>
      <c r="I13" s="4"/>
    </row>
    <row r="14" spans="1:9" ht="15.95" customHeight="1">
      <c r="A14" s="35">
        <v>10</v>
      </c>
      <c r="B14" s="17" t="str">
        <f>HYPERLINK("https://ec.europa.eu/health/ph_projects/2005/action1/docs/action1_2005_frep_01_en.pdf","European Primary Immunodeficiencies Consensus Conference")</f>
        <v>European Primary Immunodeficiencies Consensus Conference</v>
      </c>
      <c r="C14" s="4" t="s">
        <v>1716</v>
      </c>
      <c r="D14" s="4" t="s">
        <v>114</v>
      </c>
      <c r="E14" s="4" t="s">
        <v>115</v>
      </c>
      <c r="F14" s="17" t="s">
        <v>1717</v>
      </c>
      <c r="G14" s="4" t="s">
        <v>1557</v>
      </c>
      <c r="H14" s="35">
        <v>1</v>
      </c>
      <c r="I14" s="4"/>
    </row>
    <row r="15" spans="1:9" ht="15.95" customHeight="1">
      <c r="A15" s="35">
        <v>11</v>
      </c>
      <c r="B15" s="17" t="str">
        <f>HYPERLINK("https://academic.oup.com/cei/article/167/1/108/6422848?login=false","Patient-centred screening for primary immunodeficiency, a multi-stage diagnostic protocol designed for non-immunologists: 2011 update")</f>
        <v>Patient-centred screening for primary immunodeficiency, a multi-stage diagnostic protocol designed for non-immunologists: 2011 update</v>
      </c>
      <c r="C15" s="4" t="s">
        <v>1709</v>
      </c>
      <c r="D15" s="4" t="s">
        <v>114</v>
      </c>
      <c r="E15" s="4" t="s">
        <v>115</v>
      </c>
      <c r="F15" s="17" t="s">
        <v>1719</v>
      </c>
      <c r="G15" s="4" t="s">
        <v>1557</v>
      </c>
      <c r="H15" s="35">
        <v>1</v>
      </c>
      <c r="I15" s="4"/>
    </row>
    <row r="16" spans="1:9" ht="15.95" customHeight="1">
      <c r="A16" s="35">
        <v>12</v>
      </c>
      <c r="B16" s="17" t="str">
        <f>HYPERLINK("https://pubmed.ncbi.nlm.nih.gov/18026886/","Primary immunodeficiencies. Results of an European public health consensus conference")</f>
        <v>Primary immunodeficiencies. Results of an European public health consensus conference</v>
      </c>
      <c r="C16" s="4"/>
      <c r="D16" s="4" t="s">
        <v>114</v>
      </c>
      <c r="E16" s="4" t="s">
        <v>115</v>
      </c>
      <c r="F16" s="17" t="s">
        <v>1682</v>
      </c>
      <c r="G16" s="4" t="s">
        <v>1557</v>
      </c>
      <c r="H16" s="35">
        <v>1</v>
      </c>
      <c r="I16" s="4"/>
    </row>
    <row r="17" spans="1:9" ht="15.95" customHeight="1">
      <c r="A17" s="35">
        <v>13</v>
      </c>
      <c r="B17" s="17" t="str">
        <f>HYPERLINK("https://www.elsevier.es/en-revista-allergologia-et-immunopathologia-105-linkresolver-critical-issues-needs-in-management-S0301054610002387","Critical issues and needs in management of primary immunodeficiency diseases in Latin America")</f>
        <v>Critical issues and needs in management of primary immunodeficiency diseases in Latin America</v>
      </c>
      <c r="C17" s="4" t="s">
        <v>1690</v>
      </c>
      <c r="D17" s="4" t="s">
        <v>114</v>
      </c>
      <c r="E17" s="4" t="s">
        <v>295</v>
      </c>
      <c r="F17" s="17" t="s">
        <v>1691</v>
      </c>
      <c r="G17" s="4" t="s">
        <v>1557</v>
      </c>
      <c r="H17" s="35">
        <v>1</v>
      </c>
      <c r="I17" s="4"/>
    </row>
    <row r="18" spans="1:9" ht="15.95" customHeight="1">
      <c r="A18" s="35">
        <v>14</v>
      </c>
      <c r="B18" s="17" t="str">
        <f>HYPERLINK("https://www.jacionline.org/article/S0091-6749(19)31040-1/fulltext","Latin American consensus on the supportive management of patients with severe combined immunodeficiency")</f>
        <v>Latin American consensus on the supportive management of patients with severe combined immunodeficiency</v>
      </c>
      <c r="C18" s="4" t="s">
        <v>1693</v>
      </c>
      <c r="D18" s="4" t="s">
        <v>114</v>
      </c>
      <c r="E18" s="4" t="s">
        <v>295</v>
      </c>
      <c r="F18" s="17" t="s">
        <v>1707</v>
      </c>
      <c r="G18" s="4" t="s">
        <v>1548</v>
      </c>
      <c r="H18" s="35" t="s">
        <v>1681</v>
      </c>
      <c r="I18" s="4"/>
    </row>
    <row r="19" spans="1:9" ht="15.95" customHeight="1">
      <c r="A19" s="35">
        <v>15</v>
      </c>
      <c r="B19" s="17" t="str">
        <f>HYPERLINK("https://www.elsevier.es/en-revista-allergologia-et-immunopathologia-105-linkresolver-primary-immunodeficiency-diseases-in-latin-S030105461100022X","Primary immunodeficiency diseases in Latin America: proceedings of the Second Latin American Society for Immunodeficiencies (LASID) Advisory Board")</f>
        <v>Primary immunodeficiency diseases in Latin America: proceedings of the Second Latin American Society for Immunodeficiencies (LASID) Advisory Board</v>
      </c>
      <c r="C19" s="4" t="s">
        <v>1693</v>
      </c>
      <c r="D19" s="4" t="s">
        <v>114</v>
      </c>
      <c r="E19" s="4" t="s">
        <v>295</v>
      </c>
      <c r="F19" s="17" t="s">
        <v>1694</v>
      </c>
      <c r="G19" s="4" t="s">
        <v>1557</v>
      </c>
      <c r="H19" s="35">
        <v>1</v>
      </c>
      <c r="I19" s="4"/>
    </row>
    <row r="20" spans="1:9" ht="15.95" customHeight="1">
      <c r="A20" s="35">
        <v>16</v>
      </c>
      <c r="B20" s="17" t="str">
        <f>HYPERLINK("https://www.sap.org.ar/docs/publicaciones/archivosarg/2018/v116n2a42.pdf","Consensus on updating immunizations in patients with primary immunodeficiencies")</f>
        <v>Consensus on updating immunizations in patients with primary immunodeficiencies</v>
      </c>
      <c r="C20" s="4" t="s">
        <v>1565</v>
      </c>
      <c r="D20" s="4" t="s">
        <v>15</v>
      </c>
      <c r="E20" s="4" t="s">
        <v>161</v>
      </c>
      <c r="F20" s="17" t="s">
        <v>1566</v>
      </c>
      <c r="G20" s="4" t="s">
        <v>1557</v>
      </c>
      <c r="H20" s="35">
        <v>1</v>
      </c>
      <c r="I20" s="4"/>
    </row>
    <row r="21" spans="1:9" ht="15.95" customHeight="1">
      <c r="A21" s="35">
        <v>17</v>
      </c>
      <c r="B21" s="17" t="str">
        <f>HYPERLINK("https://www.scielo.org.ar/scielo.php?script=sci_arttext&amp;pid=S0325-00752011000300019&amp;lng=en&amp;nrm=iso&amp;tlng=en","General management for infections prevention and antimicrobial prophylaxis in primary immunodeficiencies")</f>
        <v>General management for infections prevention and antimicrobial prophylaxis in primary immunodeficiencies</v>
      </c>
      <c r="C21" s="4" t="s">
        <v>1553</v>
      </c>
      <c r="D21" s="4" t="s">
        <v>15</v>
      </c>
      <c r="E21" s="4" t="s">
        <v>161</v>
      </c>
      <c r="F21" s="17" t="s">
        <v>1554</v>
      </c>
      <c r="G21" s="4" t="s">
        <v>1557</v>
      </c>
      <c r="H21" s="35">
        <v>1</v>
      </c>
      <c r="I21" s="4"/>
    </row>
    <row r="22" spans="1:9" ht="15.95" customHeight="1">
      <c r="A22" s="35">
        <v>18</v>
      </c>
      <c r="B22" s="17" t="str">
        <f>HYPERLINK("https://www.sap.org.ar/docs/publicaciones/archivosarg/2023/v121n1a23.pdf","Recommendations for care, prevention of infections and chemoprophylaxis in inborn errors of immunity")</f>
        <v>Recommendations for care, prevention of infections and chemoprophylaxis in inborn errors of immunity</v>
      </c>
      <c r="C22" s="4" t="s">
        <v>1712</v>
      </c>
      <c r="D22" s="4" t="s">
        <v>15</v>
      </c>
      <c r="E22" s="4" t="s">
        <v>161</v>
      </c>
      <c r="F22" s="17" t="s">
        <v>1713</v>
      </c>
      <c r="G22" s="4" t="s">
        <v>1552</v>
      </c>
      <c r="H22" s="35">
        <v>1</v>
      </c>
      <c r="I22" s="4"/>
    </row>
    <row r="23" spans="1:9" ht="15.95" customHeight="1">
      <c r="A23" s="35">
        <v>19</v>
      </c>
      <c r="B23" s="17" t="str">
        <f>HYPERLINK("https://www.scielo.org.ar/scielo.php?script=sci_arttext&amp;pid=S0325-00752010000500018&amp;lng=en&amp;nrm=iso&amp;tlng=en","Vaccines in primary immunodeficiencies patients")</f>
        <v>Vaccines in primary immunodeficiencies patients</v>
      </c>
      <c r="C23" s="4" t="s">
        <v>1553</v>
      </c>
      <c r="D23" s="4" t="s">
        <v>15</v>
      </c>
      <c r="E23" s="4" t="s">
        <v>161</v>
      </c>
      <c r="F23" s="17" t="s">
        <v>1555</v>
      </c>
      <c r="G23" s="4" t="s">
        <v>1557</v>
      </c>
      <c r="H23" s="35">
        <v>1</v>
      </c>
      <c r="I23" s="4"/>
    </row>
    <row r="24" spans="1:9" ht="15.95" customHeight="1">
      <c r="A24" s="35">
        <v>20</v>
      </c>
      <c r="B24" s="17" t="str">
        <f>HYPERLINK("https://www.allergy.org.au/images/stories/pospapers/ASCIA_HP_Guidelines_SCID_2019.pdf","ASCIA-TAPID Consensus Guideline: Diagnosis, management and transplantation of severe combined immunodeficiency (SCID) in Australia and New Zealand")</f>
        <v>ASCIA-TAPID Consensus Guideline: Diagnosis, management and transplantation of severe combined immunodeficiency (SCID) in Australia and New Zealand</v>
      </c>
      <c r="C24" s="4" t="s">
        <v>434</v>
      </c>
      <c r="D24" s="4" t="s">
        <v>15</v>
      </c>
      <c r="E24" s="4" t="s">
        <v>162</v>
      </c>
      <c r="F24" s="17" t="s">
        <v>1547</v>
      </c>
      <c r="G24" s="4" t="s">
        <v>1548</v>
      </c>
      <c r="H24" s="35" t="s">
        <v>1681</v>
      </c>
      <c r="I24" s="4"/>
    </row>
    <row r="25" spans="1:9" ht="15.95" customHeight="1">
      <c r="A25" s="35">
        <v>21</v>
      </c>
      <c r="B25" s="17" t="str">
        <f>HYPERLINK("https://www.rch.org.au/clinicalguide/guideline_index/Primary_immunodeficiencies/","Clinical Practice Guidelines : Primary immunodeficiencies")</f>
        <v>Clinical Practice Guidelines : Primary immunodeficiencies</v>
      </c>
      <c r="C25" s="4" t="s">
        <v>1714</v>
      </c>
      <c r="D25" s="4" t="s">
        <v>15</v>
      </c>
      <c r="E25" s="4" t="s">
        <v>162</v>
      </c>
      <c r="F25" s="17" t="s">
        <v>1715</v>
      </c>
      <c r="G25" s="4" t="s">
        <v>1557</v>
      </c>
      <c r="H25" s="35">
        <v>1</v>
      </c>
      <c r="I25" s="4"/>
    </row>
    <row r="26" spans="1:9" ht="15.95" customHeight="1">
      <c r="A26" s="35">
        <v>22</v>
      </c>
      <c r="B26" s="17" t="str">
        <f>HYPERLINK("https://www.ncbi.nlm.nih.gov/pmc/articles/PMC5433300//","II Brazilian Consensus on the use of human immunoglobulin in patients with primary immunodeficiencies")</f>
        <v>II Brazilian Consensus on the use of human immunoglobulin in patients with primary immunodeficiencies</v>
      </c>
      <c r="C26" s="4" t="s">
        <v>1562</v>
      </c>
      <c r="D26" s="4" t="s">
        <v>15</v>
      </c>
      <c r="E26" s="4" t="s">
        <v>276</v>
      </c>
      <c r="F26" s="17" t="s">
        <v>1563</v>
      </c>
      <c r="G26" s="4" t="s">
        <v>1557</v>
      </c>
      <c r="H26" s="35">
        <v>1</v>
      </c>
      <c r="I26" s="4"/>
    </row>
    <row r="27" spans="1:9" ht="15.95" customHeight="1">
      <c r="A27" s="35">
        <v>23</v>
      </c>
      <c r="B27" s="17" t="str">
        <f>HYPERLINK("https://www.hemophilia.ca/files/Bruce%20Mazer%20-%20Guidelines%20for%20the%20Diagnosis%20and%20Treatment%20of%20Primary%20Immune%20Deficiency.pdf","Guidelines for the Diagnosis and Treatment of Primary Immune Deficiency")</f>
        <v>Guidelines for the Diagnosis and Treatment of Primary Immune Deficiency</v>
      </c>
      <c r="C27" s="4" t="s">
        <v>1723</v>
      </c>
      <c r="D27" s="4" t="s">
        <v>15</v>
      </c>
      <c r="E27" s="4" t="s">
        <v>23</v>
      </c>
      <c r="F27" s="17" t="s">
        <v>1724</v>
      </c>
      <c r="G27" s="4" t="s">
        <v>1557</v>
      </c>
      <c r="H27" s="35">
        <v>1</v>
      </c>
      <c r="I27" s="4"/>
    </row>
    <row r="28" spans="1:9" ht="15.95" customHeight="1">
      <c r="A28" s="35">
        <v>24</v>
      </c>
      <c r="B28" s="17" t="str">
        <f>HYPERLINK("https://lymphosign.com/doi/10.14785/lymphosign-2017-0008","National Immunoglobulin replacement Expert Committee recommendations")</f>
        <v>National Immunoglobulin replacement Expert Committee recommendations</v>
      </c>
      <c r="C28" s="4" t="s">
        <v>1727</v>
      </c>
      <c r="D28" s="4" t="s">
        <v>15</v>
      </c>
      <c r="E28" s="4" t="s">
        <v>23</v>
      </c>
      <c r="F28" s="17" t="s">
        <v>1728</v>
      </c>
      <c r="G28" s="4" t="s">
        <v>1729</v>
      </c>
      <c r="H28" s="35" t="s">
        <v>1681</v>
      </c>
      <c r="I28" s="4"/>
    </row>
    <row r="29" spans="1:9" ht="15.95" customHeight="1">
      <c r="A29" s="35">
        <v>25</v>
      </c>
      <c r="B29" s="17" t="str">
        <f>HYPERLINK("https://www.sciencedirect.com/science/article/abs/pii/S0887796309000911?via%3Dihub","The use of immunoglobulin therapy for patients with primary immune deficiency: an evidence-based practice guideline")</f>
        <v>The use of immunoglobulin therapy for patients with primary immune deficiency: an evidence-based practice guideline</v>
      </c>
      <c r="C29" s="4" t="s">
        <v>1725</v>
      </c>
      <c r="D29" s="4" t="s">
        <v>15</v>
      </c>
      <c r="E29" s="4" t="s">
        <v>23</v>
      </c>
      <c r="F29" s="17" t="s">
        <v>1726</v>
      </c>
      <c r="G29" s="4" t="s">
        <v>1557</v>
      </c>
      <c r="H29" s="35">
        <v>1</v>
      </c>
      <c r="I29" s="4"/>
    </row>
    <row r="30" spans="1:9" ht="15.95" customHeight="1">
      <c r="A30" s="35">
        <v>26</v>
      </c>
      <c r="B30" s="17" t="str">
        <f>HYPERLINK("https://revistaalergia.mx/ojs/index.php/ram/article/download/300/458?inline=1","Colombian Guidelines of clinical practice for the use of immunoglobulins in the treatment of replacement and immunomodulation")</f>
        <v>Colombian Guidelines of clinical practice for the use of immunoglobulins in the treatment of replacement and immunomodulation</v>
      </c>
      <c r="C30" s="4" t="s">
        <v>440</v>
      </c>
      <c r="D30" s="4" t="s">
        <v>15</v>
      </c>
      <c r="E30" s="4" t="s">
        <v>280</v>
      </c>
      <c r="F30" s="17" t="s">
        <v>1735</v>
      </c>
      <c r="G30" s="4" t="s">
        <v>1729</v>
      </c>
      <c r="H30" s="35" t="s">
        <v>1681</v>
      </c>
      <c r="I30" s="4"/>
    </row>
    <row r="31" spans="1:9" ht="15.95" customHeight="1">
      <c r="A31" s="35">
        <v>27</v>
      </c>
      <c r="B31" s="17" t="str">
        <f>HYPERLINK("https://revistas.javeriana.edu.co/index.php/scientarium/article/view/4965","Guide for the diagnosis of primary immunodeficiencies in the clinical laboratory")</f>
        <v>Guide for the diagnosis of primary immunodeficiencies in the clinical laboratory</v>
      </c>
      <c r="C31" s="4" t="s">
        <v>1733</v>
      </c>
      <c r="D31" s="4" t="s">
        <v>15</v>
      </c>
      <c r="E31" s="4" t="s">
        <v>280</v>
      </c>
      <c r="F31" s="17" t="s">
        <v>1734</v>
      </c>
      <c r="G31" s="4" t="s">
        <v>1557</v>
      </c>
      <c r="H31" s="35">
        <v>1</v>
      </c>
      <c r="I31" s="4"/>
    </row>
    <row r="32" spans="1:9" ht="15.95" customHeight="1">
      <c r="A32" s="35">
        <v>28</v>
      </c>
      <c r="B32" s="17" t="str">
        <f>HYPERLINK("https://www.has-sante.fr/upload/docs/application/pdf/2023-04/pnds_di_web_2023.pdf","Hereditary immune deficiencies - National Protocols for Diagnosis and Care (PNDS) – Recommendations")</f>
        <v>Hereditary immune deficiencies - National Protocols for Diagnosis and Care (PNDS) – Recommendations</v>
      </c>
      <c r="C32" s="4" t="s">
        <v>1730</v>
      </c>
      <c r="D32" s="4" t="s">
        <v>15</v>
      </c>
      <c r="E32" s="4" t="s">
        <v>88</v>
      </c>
      <c r="F32" s="17" t="s">
        <v>1731</v>
      </c>
      <c r="G32" s="4" t="s">
        <v>1732</v>
      </c>
      <c r="H32" s="35">
        <v>1</v>
      </c>
      <c r="I32" s="4"/>
    </row>
    <row r="33" spans="1:9" ht="15.95" customHeight="1">
      <c r="A33" s="35">
        <v>29</v>
      </c>
      <c r="B33" s="17" t="str">
        <f>HYPERLINK("https://register.awmf.org/assets/guidelines/024-012l_S2k_Neugeborenenscreening_2022-02-abgelaufen.pdf","Newborn screening for inborn errors of metabolism, endocrinopathies, severe combined immunodeficiencies (SCID), sickle cell disease, 5q-associated spinal muscular atrophy (SMA) and cystic fibrosis")</f>
        <v>Newborn screening for inborn errors of metabolism, endocrinopathies, severe combined immunodeficiencies (SCID), sickle cell disease, 5q-associated spinal muscular atrophy (SMA) and cystic fibrosis</v>
      </c>
      <c r="C33" s="4" t="s">
        <v>1695</v>
      </c>
      <c r="D33" s="4" t="s">
        <v>15</v>
      </c>
      <c r="E33" s="4" t="s">
        <v>91</v>
      </c>
      <c r="F33" s="17" t="s">
        <v>1697</v>
      </c>
      <c r="G33" s="4" t="s">
        <v>1698</v>
      </c>
      <c r="H33" s="35">
        <v>1</v>
      </c>
      <c r="I33" s="4"/>
    </row>
    <row r="34" spans="1:9" ht="15.95" customHeight="1">
      <c r="A34" s="35">
        <v>30</v>
      </c>
      <c r="B34" s="17" t="str">
        <f>HYPERLINK("https://register.awmf.org/assets/guidelines/112-001l_S2k_Primaere_Immundefekte_PID_2017-11_abgelaufen.pdf","S2k Guideline for diagnosis of primary immunodeficiency (PID)")</f>
        <v>S2k Guideline for diagnosis of primary immunodeficiency (PID)</v>
      </c>
      <c r="C34" s="4" t="s">
        <v>1695</v>
      </c>
      <c r="D34" s="4" t="s">
        <v>15</v>
      </c>
      <c r="E34" s="4" t="s">
        <v>91</v>
      </c>
      <c r="F34" s="17" t="s">
        <v>1696</v>
      </c>
      <c r="G34" s="4" t="s">
        <v>1557</v>
      </c>
      <c r="H34" s="35">
        <v>1</v>
      </c>
      <c r="I34" s="4"/>
    </row>
    <row r="35" spans="1:9" ht="15.95" customHeight="1">
      <c r="A35" s="35">
        <v>31</v>
      </c>
      <c r="B35" s="17" t="str">
        <f>HYPERLINK("https://register.awmf.org/assets/guidelines/189-001l_S3_Therapie-primaerer-Antikoerpermangelerkrankungen-2019-05-verlaengert.pdf","Treatment and management of primary antibody deficiency: German interdisciplinary evidence-based consensus guideline")</f>
        <v>Treatment and management of primary antibody deficiency: German interdisciplinary evidence-based consensus guideline</v>
      </c>
      <c r="C35" s="4" t="s">
        <v>1695</v>
      </c>
      <c r="D35" s="4" t="s">
        <v>15</v>
      </c>
      <c r="E35" s="4" t="s">
        <v>91</v>
      </c>
      <c r="F35" s="17" t="s">
        <v>1718</v>
      </c>
      <c r="G35" s="4" t="s">
        <v>1498</v>
      </c>
      <c r="H35" s="35" t="s">
        <v>1681</v>
      </c>
      <c r="I35" s="4"/>
    </row>
    <row r="36" spans="1:9" ht="15.95" customHeight="1">
      <c r="A36" s="35">
        <v>32</v>
      </c>
      <c r="B36" s="17" t="str">
        <f>HYPERLINK("https://www.jacionline.org/article/S0091-6749(20)31165-9/fulltext","Consensus of the Italian Primary Immunodeficiency Network on transition management from pediatric to adult care in patients affected with childhood-onset inborn errors of immunity")</f>
        <v>Consensus of the Italian Primary Immunodeficiency Network on transition management from pediatric to adult care in patients affected with childhood-onset inborn errors of immunity</v>
      </c>
      <c r="C36" s="4" t="s">
        <v>1687</v>
      </c>
      <c r="D36" s="4" t="s">
        <v>15</v>
      </c>
      <c r="E36" s="4" t="s">
        <v>16</v>
      </c>
      <c r="F36" s="17" t="s">
        <v>1688</v>
      </c>
      <c r="G36" s="4" t="s">
        <v>1689</v>
      </c>
      <c r="H36" s="35">
        <v>1</v>
      </c>
      <c r="I36" s="4"/>
    </row>
    <row r="37" spans="1:9" ht="15.95" customHeight="1">
      <c r="A37" s="35">
        <v>33</v>
      </c>
      <c r="B37" s="17" t="str">
        <f>HYPERLINK("https://www.jstct.or.jp/uploads/files/guideline/14m_immunodeficiency.pdf","Congenital immunodeficiency guideline")</f>
        <v>Congenital immunodeficiency guideline</v>
      </c>
      <c r="C37" s="4" t="s">
        <v>1738</v>
      </c>
      <c r="D37" s="4" t="s">
        <v>15</v>
      </c>
      <c r="E37" s="4" t="s">
        <v>110</v>
      </c>
      <c r="F37" s="17" t="s">
        <v>1741</v>
      </c>
      <c r="G37" s="4" t="s">
        <v>1742</v>
      </c>
      <c r="H37" s="35">
        <v>1</v>
      </c>
      <c r="I37" s="4"/>
    </row>
    <row r="38" spans="1:9" ht="15.95" customHeight="1">
      <c r="A38" s="35">
        <v>34</v>
      </c>
      <c r="B38" s="17" t="str">
        <f>HYPERLINK("https://www.jstct.or.jp/uploads/files/guideline/02_08_pidj.pdf","Hematopoietic cell transplantation guidelines - primary immunodeficiency")</f>
        <v>Hematopoietic cell transplantation guidelines - primary immunodeficiency</v>
      </c>
      <c r="C38" s="4" t="s">
        <v>1738</v>
      </c>
      <c r="D38" s="4" t="s">
        <v>15</v>
      </c>
      <c r="E38" s="4" t="s">
        <v>110</v>
      </c>
      <c r="F38" s="17" t="s">
        <v>1739</v>
      </c>
      <c r="G38" s="4" t="s">
        <v>1740</v>
      </c>
      <c r="H38" s="35">
        <v>1</v>
      </c>
      <c r="I38" s="4"/>
    </row>
    <row r="39" spans="1:9" ht="15.95" customHeight="1">
      <c r="A39" s="35">
        <v>35</v>
      </c>
      <c r="B39" s="17" t="str">
        <f>HYPERLINK("https://mhlw-grants.niph.go.jp/system/files/download_pdf/2022/202211045A.pdf","Revised treatment guidelines for primary immunodeficiency syndrome")</f>
        <v>Revised treatment guidelines for primary immunodeficiency syndrome</v>
      </c>
      <c r="C39" s="4" t="s">
        <v>1736</v>
      </c>
      <c r="D39" s="4" t="s">
        <v>15</v>
      </c>
      <c r="E39" s="4" t="s">
        <v>110</v>
      </c>
      <c r="F39" s="17" t="s">
        <v>1737</v>
      </c>
      <c r="G39" s="4" t="s">
        <v>1557</v>
      </c>
      <c r="H39" s="35">
        <v>1</v>
      </c>
      <c r="I39" s="4"/>
    </row>
    <row r="40" spans="1:9" ht="15.95" customHeight="1">
      <c r="A40" s="35">
        <v>36</v>
      </c>
      <c r="B40" s="17" t="str">
        <f>HYPERLINK("https://www.jiaci.org/summary/vol20-issue3-num584","Diagnosis and management of immunodeficiencies in adults by allergologists")</f>
        <v>Diagnosis and management of immunodeficiencies in adults by allergologists</v>
      </c>
      <c r="C40" s="4" t="s">
        <v>456</v>
      </c>
      <c r="D40" s="4" t="s">
        <v>15</v>
      </c>
      <c r="E40" s="4" t="s">
        <v>107</v>
      </c>
      <c r="F40" s="17" t="s">
        <v>1556</v>
      </c>
      <c r="G40" s="4" t="s">
        <v>1557</v>
      </c>
      <c r="H40" s="35">
        <v>1</v>
      </c>
      <c r="I40" s="4"/>
    </row>
    <row r="41" spans="1:9" ht="15.95" customHeight="1">
      <c r="A41" s="35">
        <v>37</v>
      </c>
      <c r="B41" s="17" t="str">
        <f>HYPERLINK("https://www.sciencedirect.com/science/article/abs/pii/S0213005X20302500?via%3Dihub","Executive Summary of the Consensus Document on the Diagnosis and Management of Patients with Primary Immunodeficiencies")</f>
        <v>Executive Summary of the Consensus Document on the Diagnosis and Management of Patients with Primary Immunodeficiencies</v>
      </c>
      <c r="C41" s="4" t="s">
        <v>1560</v>
      </c>
      <c r="D41" s="4" t="s">
        <v>15</v>
      </c>
      <c r="E41" s="4" t="s">
        <v>107</v>
      </c>
      <c r="F41" s="17" t="s">
        <v>1561</v>
      </c>
      <c r="G41" s="4" t="s">
        <v>1557</v>
      </c>
      <c r="H41" s="35">
        <v>1</v>
      </c>
      <c r="I41" s="4"/>
    </row>
    <row r="42" spans="1:9" ht="15.95" customHeight="1">
      <c r="A42" s="35">
        <v>38</v>
      </c>
      <c r="B42" s="17" t="str">
        <f>HYPERLINK("https://www.sciencedirect.com/science/article/pii/S2213219817300351","British Lung Foundation/United Kingdom Primary Immunodeficiency Network Consensus Statement on the Definition, Diagnosis, and Management of Granulomatous-Lymphocytic Interstitial Lung Disease in Common Variable Immunodeficiency Disorders")</f>
        <v>British Lung Foundation/United Kingdom Primary Immunodeficiency Network Consensus Statement on the Definition, Diagnosis, and Management of Granulomatous-Lymphocytic Interstitial Lung Disease in Common Variable Immunodeficiency Disorders</v>
      </c>
      <c r="C42" s="4" t="s">
        <v>1701</v>
      </c>
      <c r="D42" s="4" t="s">
        <v>15</v>
      </c>
      <c r="E42" s="4" t="s">
        <v>17</v>
      </c>
      <c r="F42" s="17" t="s">
        <v>1570</v>
      </c>
      <c r="G42" s="4" t="s">
        <v>1702</v>
      </c>
      <c r="H42" s="35" t="s">
        <v>1680</v>
      </c>
      <c r="I42" s="4"/>
    </row>
    <row r="43" spans="1:9" ht="15.95" customHeight="1">
      <c r="A43" s="35">
        <v>39</v>
      </c>
      <c r="B43" s="17" t="str">
        <f>HYPERLINK("https://academic.oup.com/cei/article/210/1/1/6655640","British Society for Immunology and United Kingdom Primary Immunodeficiency Network (UKPIN) consensus guideline for the management of immunoglobulin replacement therapy")</f>
        <v>British Society for Immunology and United Kingdom Primary Immunodeficiency Network (UKPIN) consensus guideline for the management of immunoglobulin replacement therapy</v>
      </c>
      <c r="C43" s="4" t="s">
        <v>416</v>
      </c>
      <c r="D43" s="4" t="s">
        <v>15</v>
      </c>
      <c r="E43" s="4" t="s">
        <v>17</v>
      </c>
      <c r="F43" s="17" t="s">
        <v>1569</v>
      </c>
      <c r="G43" s="4" t="s">
        <v>1700</v>
      </c>
      <c r="H43" s="35">
        <v>1</v>
      </c>
      <c r="I43" s="4"/>
    </row>
    <row r="44" spans="1:9" ht="15.95" customHeight="1">
      <c r="A44" s="35">
        <v>40</v>
      </c>
      <c r="B44" s="17" t="str">
        <f>HYPERLINK("https://www.ncbi.nlm.nih.gov/pmc/articles/PMC6514370/","British Society for Immunology/United Kingdom Primary Immunodeficiency Network consensus statement on managing non-infectious complications of common variable immunodeficiency disorders")</f>
        <v>British Society for Immunology/United Kingdom Primary Immunodeficiency Network consensus statement on managing non-infectious complications of common variable immunodeficiency disorders</v>
      </c>
      <c r="C44" s="4" t="s">
        <v>1685</v>
      </c>
      <c r="D44" s="4" t="s">
        <v>15</v>
      </c>
      <c r="E44" s="4" t="s">
        <v>17</v>
      </c>
      <c r="F44" s="17" t="s">
        <v>1686</v>
      </c>
      <c r="G44" s="4" t="s">
        <v>666</v>
      </c>
      <c r="H44" s="35" t="s">
        <v>1680</v>
      </c>
      <c r="I44" s="4"/>
    </row>
    <row r="45" spans="1:9" ht="15.95" customHeight="1">
      <c r="A45" s="35">
        <v>41</v>
      </c>
      <c r="B45" s="17" t="str">
        <f>HYPERLINK("https://www.jacionline.org/article/S0091-6749(17)31191-0/fulltext","Liver disease predicts mortality in patients with XHIIM but can be prevented by early hematopoietic stem cell transplantation (2018)")</f>
        <v>Liver disease predicts mortality in patients with XHIIM but can be prevented by early hematopoietic stem cell transplantation (2018)</v>
      </c>
      <c r="C45" s="4" t="s">
        <v>1720</v>
      </c>
      <c r="D45" s="4" t="s">
        <v>15</v>
      </c>
      <c r="E45" s="4" t="s">
        <v>17</v>
      </c>
      <c r="F45" s="17" t="s">
        <v>1721</v>
      </c>
      <c r="G45" s="4" t="s">
        <v>1722</v>
      </c>
      <c r="H45" s="35">
        <v>1</v>
      </c>
      <c r="I45" s="4"/>
    </row>
    <row r="46" spans="1:9" ht="15.95" customHeight="1">
      <c r="A46" s="35">
        <v>42</v>
      </c>
      <c r="B46" s="17" t="str">
        <f>HYPERLINK("https://www.nice.org.uk/guidance/hst7/resources/strimvelis-for-treating-adenosine-deaminase-deficiencysevere-combined-immunodeficiency-pdf-1394905926085","Strimvelis for treating adenosine deaminase deficiency–severe combined immunodeficiency")</f>
        <v>Strimvelis for treating adenosine deaminase deficiency–severe combined immunodeficiency</v>
      </c>
      <c r="C46" s="4" t="s">
        <v>159</v>
      </c>
      <c r="D46" s="4" t="s">
        <v>15</v>
      </c>
      <c r="E46" s="4" t="s">
        <v>17</v>
      </c>
      <c r="F46" s="17" t="s">
        <v>1567</v>
      </c>
      <c r="G46" s="4" t="s">
        <v>1548</v>
      </c>
      <c r="H46" s="35" t="s">
        <v>1681</v>
      </c>
      <c r="I46" s="4"/>
    </row>
    <row r="47" spans="1:9" ht="15.95" customHeight="1">
      <c r="A47" s="35">
        <v>43</v>
      </c>
      <c r="B47" s="17" t="str">
        <f>HYPERLINK("https://www.acpjournals.org/doi/full/10.7326/0003-4819-130-7-199904060-00020","An inherited disorder of lymphocyte apoptosis: the autoimmune lymphoproliferative syndrome")</f>
        <v>An inherited disorder of lymphocyte apoptosis: the autoimmune lymphoproliferative syndrome</v>
      </c>
      <c r="C47" s="4" t="s">
        <v>2022</v>
      </c>
      <c r="D47" s="4" t="s">
        <v>15</v>
      </c>
      <c r="E47" s="4" t="s">
        <v>18</v>
      </c>
      <c r="F47" s="17" t="s">
        <v>2023</v>
      </c>
      <c r="G47" s="4" t="s">
        <v>756</v>
      </c>
      <c r="H47" s="35" t="s">
        <v>1680</v>
      </c>
      <c r="I47" s="4"/>
    </row>
    <row r="48" spans="1:9" ht="15.95" customHeight="1">
      <c r="A48" s="35">
        <v>44</v>
      </c>
      <c r="B48" s="17" t="str">
        <f>HYPERLINK("https://www.cdc.gov/mmwr/preview/mmwrhtml/rr5301a1.htm","Applying public health strategies to primary immunodeficiency diseases: a potential approach to genetic disorders")</f>
        <v>Applying public health strategies to primary immunodeficiency diseases: a potential approach to genetic disorders</v>
      </c>
      <c r="C48" s="4" t="s">
        <v>1683</v>
      </c>
      <c r="D48" s="4" t="s">
        <v>15</v>
      </c>
      <c r="E48" s="4" t="s">
        <v>18</v>
      </c>
      <c r="F48" s="17" t="s">
        <v>1684</v>
      </c>
      <c r="G48" s="4" t="s">
        <v>1557</v>
      </c>
      <c r="H48" s="35">
        <v>1</v>
      </c>
      <c r="I48" s="4"/>
    </row>
    <row r="49" spans="1:9" ht="15.95" customHeight="1">
      <c r="A49" s="35">
        <v>45</v>
      </c>
      <c r="B49" s="17" t="s">
        <v>2024</v>
      </c>
      <c r="C49" s="4" t="s">
        <v>2025</v>
      </c>
      <c r="D49" s="4" t="s">
        <v>15</v>
      </c>
      <c r="E49" s="4" t="s">
        <v>18</v>
      </c>
      <c r="F49" s="17" t="s">
        <v>2026</v>
      </c>
      <c r="G49" s="4" t="s">
        <v>2029</v>
      </c>
      <c r="H49" s="35">
        <v>1</v>
      </c>
      <c r="I49" s="4"/>
    </row>
    <row r="50" spans="1:9" ht="15.95" customHeight="1">
      <c r="A50" s="35">
        <v>46</v>
      </c>
      <c r="B50" s="17" t="str">
        <f>HYPERLINK("https://www.pospid.org.rs/images/materijal/IDF%20Diagnostic%20and%20Clinical%20Care%20Guidelines%20second%20edition%20%20%20FINAL.pdf","Diagnostic &amp; Clinical Care Guidelines for Primary Immunodeficiency Diseases")</f>
        <v>Diagnostic &amp; Clinical Care Guidelines for Primary Immunodeficiency Diseases</v>
      </c>
      <c r="C50" s="4" t="s">
        <v>303</v>
      </c>
      <c r="D50" s="4" t="s">
        <v>15</v>
      </c>
      <c r="E50" s="4" t="s">
        <v>18</v>
      </c>
      <c r="F50" s="17" t="s">
        <v>1546</v>
      </c>
      <c r="G50" s="4" t="s">
        <v>1557</v>
      </c>
      <c r="H50" s="35">
        <v>1</v>
      </c>
      <c r="I50" s="4"/>
    </row>
    <row r="51" spans="1:9" ht="15.95" customHeight="1">
      <c r="A51" s="35">
        <v>47</v>
      </c>
      <c r="B51" s="17" t="str">
        <f>HYPERLINK("https://www.aaaai.org/Aaaai/media/MediaLibrary/PDF%20Documents/Practice%20and%20Parameters/PID-Nov-2015.pdf","Practice parameter for the diagnosis and management of primary immunodeficiency")</f>
        <v>Practice parameter for the diagnosis and management of primary immunodeficiency</v>
      </c>
      <c r="C51" s="4" t="s">
        <v>1549</v>
      </c>
      <c r="D51" s="4" t="s">
        <v>15</v>
      </c>
      <c r="E51" s="4" t="s">
        <v>18</v>
      </c>
      <c r="F51" s="17" t="s">
        <v>1550</v>
      </c>
      <c r="G51" s="4" t="s">
        <v>1557</v>
      </c>
      <c r="H51" s="35">
        <v>1</v>
      </c>
      <c r="I51" s="4"/>
    </row>
    <row r="52" spans="1:9" ht="15.95" customHeight="1">
      <c r="A52" s="35">
        <v>48</v>
      </c>
      <c r="B52" s="17" t="str">
        <f>HYPERLINK("https://www.ncbi.nlm.nih.gov/pmc/articles/PMC2953894/","Revised diagnostic criteria and classification for the autoimmune lymphoproliferative syndrome (ALPS): report from the 2009 NIH International Workshop")</f>
        <v>Revised diagnostic criteria and classification for the autoimmune lymphoproliferative syndrome (ALPS): report from the 2009 NIH International Workshop</v>
      </c>
      <c r="C52" s="4" t="s">
        <v>2020</v>
      </c>
      <c r="D52" s="4" t="s">
        <v>15</v>
      </c>
      <c r="E52" s="4" t="s">
        <v>18</v>
      </c>
      <c r="F52" s="17" t="s">
        <v>2021</v>
      </c>
      <c r="G52" s="4" t="s">
        <v>756</v>
      </c>
      <c r="H52" s="35" t="s">
        <v>1680</v>
      </c>
      <c r="I52" s="4"/>
    </row>
    <row r="53" spans="1:9" ht="15.95" customHeight="1">
      <c r="A53" s="35">
        <v>49</v>
      </c>
      <c r="B53" s="17" t="str">
        <f>HYPERLINK("https://pubmed.ncbi.nlm.nih.gov/27454438/","The Primary Immune Deficiency Treatment Consortium: how can it improve definitive therapy for PID?")</f>
        <v>The Primary Immune Deficiency Treatment Consortium: how can it improve definitive therapy for PID?</v>
      </c>
      <c r="C53" s="4" t="s">
        <v>2027</v>
      </c>
      <c r="D53" s="4" t="s">
        <v>15</v>
      </c>
      <c r="E53" s="4" t="s">
        <v>18</v>
      </c>
      <c r="F53" s="17" t="s">
        <v>2028</v>
      </c>
      <c r="G53" s="4" t="s">
        <v>1557</v>
      </c>
      <c r="H53" s="35">
        <v>1</v>
      </c>
      <c r="I53" s="4"/>
    </row>
    <row r="54" spans="1:9" ht="15.95" customHeight="1">
      <c r="A54" s="35">
        <v>50</v>
      </c>
      <c r="B54" s="17" t="str">
        <f>HYPERLINK("https://www.jacionline.org/article/S0091-6749(12)01103-7/fulltext","Use and interpretation of diagnostic vaccination in primary immunodeficiency: A working group report of the Basic and Clinical Immunology Interest Section of the American Academy of Allergy, Asthma &amp; Immunology")</f>
        <v>Use and interpretation of diagnostic vaccination in primary immunodeficiency: A working group report of the Basic and Clinical Immunology Interest Section of the American Academy of Allergy, Asthma &amp; Immunology</v>
      </c>
      <c r="C54" s="4" t="s">
        <v>1549</v>
      </c>
      <c r="D54" s="4" t="s">
        <v>15</v>
      </c>
      <c r="E54" s="4" t="s">
        <v>18</v>
      </c>
      <c r="F54" s="17" t="s">
        <v>1708</v>
      </c>
      <c r="G54" s="4" t="s">
        <v>1557</v>
      </c>
      <c r="H54" s="35">
        <v>1</v>
      </c>
      <c r="I54" s="4"/>
    </row>
  </sheetData>
  <autoFilter ref="A4:I54"/>
  <sortState ref="A5:I54">
    <sortCondition ref="D5:D54" customList="International,Regional,National"/>
    <sortCondition ref="E5:E54"/>
    <sortCondition ref="B5:B54"/>
  </sortState>
  <mergeCells count="2">
    <mergeCell ref="A1:I1"/>
    <mergeCell ref="A2:I3"/>
  </mergeCells>
  <conditionalFormatting sqref="B1:B4 B51:B1048576">
    <cfRule type="duplicateValues" dxfId="10" priority="5"/>
  </conditionalFormatting>
  <conditionalFormatting sqref="B5:B54">
    <cfRule type="duplicateValues" dxfId="9" priority="4"/>
  </conditionalFormatting>
  <conditionalFormatting sqref="B1:B1048576">
    <cfRule type="duplicateValues" dxfId="8" priority="3"/>
  </conditionalFormatting>
  <conditionalFormatting sqref="B50:B54">
    <cfRule type="duplicateValues" dxfId="7" priority="1"/>
  </conditionalFormatting>
  <hyperlinks>
    <hyperlink ref="F5" r:id="rId1"/>
    <hyperlink ref="F6" r:id="rId2"/>
    <hyperlink ref="F7" r:id="rId3"/>
    <hyperlink ref="F8" r:id="rId4"/>
    <hyperlink ref="F9" r:id="rId5"/>
    <hyperlink ref="F10" r:id="rId6"/>
    <hyperlink ref="F11" r:id="rId7"/>
    <hyperlink ref="F12" r:id="rId8"/>
    <hyperlink ref="F13" r:id="rId9"/>
    <hyperlink ref="F14" r:id="rId10"/>
    <hyperlink ref="F15" r:id="rId11"/>
    <hyperlink ref="F16" r:id="rId12"/>
    <hyperlink ref="F17" r:id="rId13"/>
    <hyperlink ref="F18" r:id="rId14"/>
    <hyperlink ref="F19" r:id="rId15"/>
    <hyperlink ref="F20" r:id="rId16"/>
    <hyperlink ref="F21" r:id="rId17"/>
    <hyperlink ref="F22" r:id="rId18"/>
    <hyperlink ref="F23" r:id="rId19"/>
    <hyperlink ref="F24" r:id="rId20"/>
    <hyperlink ref="F25" r:id="rId21"/>
    <hyperlink ref="F26" r:id="rId22"/>
    <hyperlink ref="F27" r:id="rId23" display="https://www.hemophilia.ca/files/Bruce Mazer - Guidelines for the Diagnosis and Treatment of Primary Immune Deficiency.pdf"/>
    <hyperlink ref="F28" r:id="rId24"/>
    <hyperlink ref="F29" r:id="rId25"/>
    <hyperlink ref="F30" r:id="rId26"/>
    <hyperlink ref="F31" r:id="rId27"/>
    <hyperlink ref="F32" r:id="rId28"/>
    <hyperlink ref="F33" r:id="rId29"/>
    <hyperlink ref="F34" r:id="rId30"/>
    <hyperlink ref="F35" r:id="rId31"/>
    <hyperlink ref="F36" r:id="rId32"/>
    <hyperlink ref="F37" r:id="rId33"/>
    <hyperlink ref="F38" r:id="rId34"/>
    <hyperlink ref="F39" r:id="rId35"/>
    <hyperlink ref="F40" r:id="rId36"/>
    <hyperlink ref="F41" r:id="rId37"/>
    <hyperlink ref="F42" r:id="rId38"/>
    <hyperlink ref="F43" r:id="rId39"/>
    <hyperlink ref="F44" r:id="rId40"/>
    <hyperlink ref="F45" r:id="rId41"/>
    <hyperlink ref="F46" r:id="rId42"/>
    <hyperlink ref="F48" r:id="rId43"/>
    <hyperlink ref="F50" r:id="rId44" display="https://www.pospid.org.rs/images/materijal/IDF Diagnostic and Clinical Care Guidelines second edition   FINAL.pdf"/>
    <hyperlink ref="F51" r:id="rId45" display="https://www.aaaai.org/Aaaai/media/MediaLibrary/PDF Documents/Practice and Parameters/PID-Nov-2015.pdf"/>
    <hyperlink ref="F54" r:id="rId46"/>
    <hyperlink ref="F53" r:id="rId47"/>
    <hyperlink ref="F47" r:id="rId48"/>
    <hyperlink ref="F52" r:id="rId49"/>
    <hyperlink ref="B49" r:id="rId50" display="https://www.acpjournals.org/doi/full/10.7326/0003-4819-130-7-199904060-00020"/>
    <hyperlink ref="F49" r:id="rId51"/>
  </hyperlinks>
  <pageMargins left="0.7" right="0.7" top="0.75" bottom="0.75" header="0" footer="0"/>
  <pageSetup orientation="landscape" r:id="rId5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424"/>
  <sheetViews>
    <sheetView showGridLines="0" zoomScaleNormal="100" workbookViewId="0">
      <pane xSplit="2" ySplit="4" topLeftCell="C5" activePane="bottomRight" state="frozen"/>
      <selection pane="topRight"/>
      <selection pane="bottomLeft"/>
      <selection pane="bottomRight" activeCell="C5" sqref="C5"/>
    </sheetView>
  </sheetViews>
  <sheetFormatPr defaultColWidth="9" defaultRowHeight="12.75"/>
  <cols>
    <col min="1" max="1" width="6.140625" style="1" customWidth="1"/>
    <col min="2" max="2" width="70.85546875" style="1" customWidth="1"/>
    <col min="3" max="3" width="17.85546875" style="1" customWidth="1"/>
    <col min="4" max="4" width="16" style="1" customWidth="1"/>
    <col min="5" max="5" width="20.5703125" style="1" customWidth="1"/>
    <col min="6" max="6" width="35.5703125" style="1" customWidth="1"/>
    <col min="7" max="7" width="14.5703125" style="1" customWidth="1"/>
    <col min="8" max="8" width="35.5703125" style="1" customWidth="1"/>
    <col min="9" max="16384" width="9" style="1"/>
  </cols>
  <sheetData>
    <row r="1" spans="1:8" ht="25.35" customHeight="1">
      <c r="A1" s="73" t="s">
        <v>0</v>
      </c>
      <c r="B1" s="73"/>
      <c r="C1" s="73"/>
      <c r="D1" s="73"/>
      <c r="E1" s="73"/>
      <c r="F1" s="73"/>
      <c r="G1" s="73"/>
      <c r="H1" s="73"/>
    </row>
    <row r="2" spans="1:8" ht="15" customHeight="1">
      <c r="A2" s="74" t="s">
        <v>1</v>
      </c>
      <c r="B2" s="75"/>
      <c r="C2" s="75"/>
      <c r="D2" s="75"/>
      <c r="E2" s="75"/>
      <c r="F2" s="75"/>
      <c r="G2" s="75"/>
      <c r="H2" s="75"/>
    </row>
    <row r="3" spans="1:8" ht="15" customHeight="1">
      <c r="A3" s="75"/>
      <c r="B3" s="75"/>
      <c r="C3" s="75"/>
      <c r="D3" s="75"/>
      <c r="E3" s="75"/>
      <c r="F3" s="75"/>
      <c r="G3" s="75"/>
      <c r="H3" s="75"/>
    </row>
    <row r="4" spans="1:8" ht="28.5" customHeight="1">
      <c r="A4" s="7" t="s">
        <v>2</v>
      </c>
      <c r="B4" s="7" t="s">
        <v>174</v>
      </c>
      <c r="C4" s="7" t="s">
        <v>12</v>
      </c>
      <c r="D4" s="7" t="s">
        <v>13</v>
      </c>
      <c r="E4" s="7" t="s">
        <v>1192</v>
      </c>
      <c r="F4" s="7" t="s">
        <v>5</v>
      </c>
      <c r="G4" s="7" t="s">
        <v>1572</v>
      </c>
      <c r="H4" s="7" t="s">
        <v>6</v>
      </c>
    </row>
    <row r="5" spans="1:8" ht="15.95" customHeight="1">
      <c r="A5" s="5">
        <v>1</v>
      </c>
      <c r="B5" s="17" t="str">
        <f>HYPERLINK("https://www.apaaaci2024.com/scientific-program.php","2024 - International Conference of the Asia Pacific Association of Allergy, Asthma and Clinical Immunology")</f>
        <v>2024 - International Conference of the Asia Pacific Association of Allergy, Asthma and Clinical Immunology</v>
      </c>
      <c r="C5" s="47" t="s">
        <v>14</v>
      </c>
      <c r="D5" s="18" t="s">
        <v>14</v>
      </c>
      <c r="E5" s="18" t="s">
        <v>470</v>
      </c>
      <c r="F5" s="17" t="s">
        <v>1054</v>
      </c>
      <c r="G5" s="5">
        <v>3</v>
      </c>
      <c r="H5" s="18"/>
    </row>
    <row r="6" spans="1:8" ht="15.95" customHeight="1">
      <c r="A6" s="5">
        <v>2</v>
      </c>
      <c r="B6" s="17" t="str">
        <f>HYPERLINK("https://www.apaaaci2023.com/scientific-program.php","2023 - International Conference of the Asia Pacific Association of Allergy, Asthma and Clinical Immunology")</f>
        <v>2023 - International Conference of the Asia Pacific Association of Allergy, Asthma and Clinical Immunology</v>
      </c>
      <c r="C6" s="47" t="s">
        <v>14</v>
      </c>
      <c r="D6" s="18" t="s">
        <v>14</v>
      </c>
      <c r="E6" s="18" t="s">
        <v>470</v>
      </c>
      <c r="F6" s="17" t="s">
        <v>1055</v>
      </c>
      <c r="G6" s="5">
        <v>3</v>
      </c>
      <c r="H6" s="18"/>
    </row>
    <row r="7" spans="1:8" ht="15.95" customHeight="1">
      <c r="A7" s="5">
        <v>3</v>
      </c>
      <c r="B7" s="17" t="str">
        <f>HYPERLINK("https://www.apaaaci2023.com/apaaaci2022.php","2022 - International Conference of the Asia Pacific Association of Allergy, Asthma and Clinical Immunology")</f>
        <v>2022 - International Conference of the Asia Pacific Association of Allergy, Asthma and Clinical Immunology</v>
      </c>
      <c r="C7" s="47" t="s">
        <v>14</v>
      </c>
      <c r="D7" s="18" t="s">
        <v>14</v>
      </c>
      <c r="E7" s="18" t="s">
        <v>470</v>
      </c>
      <c r="F7" s="17" t="s">
        <v>1056</v>
      </c>
      <c r="G7" s="5">
        <v>3</v>
      </c>
      <c r="H7" s="18"/>
    </row>
    <row r="8" spans="1:8" ht="15.95" customHeight="1">
      <c r="A8" s="5">
        <v>4</v>
      </c>
      <c r="B8" s="17" t="str">
        <f>HYPERLINK("https://www.esanum.com/apaaaci-2021-international-conference","2021 - International Conference of the Asia Pacific Association of Allergy, Asthma and Clinical Immunology")</f>
        <v>2021 - International Conference of the Asia Pacific Association of Allergy, Asthma and Clinical Immunology</v>
      </c>
      <c r="C8" s="47" t="s">
        <v>14</v>
      </c>
      <c r="D8" s="18" t="s">
        <v>14</v>
      </c>
      <c r="E8" s="18" t="s">
        <v>470</v>
      </c>
      <c r="F8" s="17" t="s">
        <v>1057</v>
      </c>
      <c r="G8" s="5">
        <v>3</v>
      </c>
      <c r="H8" s="18"/>
    </row>
    <row r="9" spans="1:8" ht="15.95" customHeight="1">
      <c r="A9" s="5">
        <v>5</v>
      </c>
      <c r="B9" s="17" t="str">
        <f>HYPERLINK("https://www.centogene.com/news-events/conferences-events/eventdetail-page/acgh-congreso-medellin","2023 - XVII Colombian Congress and XI International Congress of Human Genetics of Colombian Association of Human Genetics")</f>
        <v>2023 - XVII Colombian Congress and XI International Congress of Human Genetics of Colombian Association of Human Genetics</v>
      </c>
      <c r="C9" s="47" t="s">
        <v>14</v>
      </c>
      <c r="D9" s="18" t="s">
        <v>14</v>
      </c>
      <c r="E9" s="18" t="s">
        <v>1790</v>
      </c>
      <c r="F9" s="17" t="s">
        <v>1973</v>
      </c>
      <c r="G9" s="5" t="s">
        <v>2030</v>
      </c>
      <c r="H9" s="18"/>
    </row>
    <row r="10" spans="1:8" ht="15.95" customHeight="1">
      <c r="A10" s="5">
        <v>6</v>
      </c>
      <c r="B10" s="17" t="str">
        <f>HYPERLINK("https://acgh.com.co/congreso-2021/programa-cientifico","2021 - XVI Colombian Congress and X International Congress of Human Genetics of Colombian Association of Human Genetics")</f>
        <v>2021 - XVI Colombian Congress and X International Congress of Human Genetics of Colombian Association of Human Genetics</v>
      </c>
      <c r="C10" s="47" t="s">
        <v>14</v>
      </c>
      <c r="D10" s="18" t="s">
        <v>14</v>
      </c>
      <c r="E10" s="18" t="s">
        <v>1790</v>
      </c>
      <c r="F10" s="17" t="s">
        <v>1974</v>
      </c>
      <c r="G10" s="5" t="s">
        <v>2030</v>
      </c>
      <c r="H10" s="18"/>
    </row>
    <row r="11" spans="1:8" ht="15.95" customHeight="1">
      <c r="A11" s="5">
        <v>7</v>
      </c>
      <c r="B11" s="17" t="str">
        <f>HYPERLINK("https://www.dgenes.es/wp-content/uploads/Normas-de-Posteres-y-Comunicaciones-2024.pdf","2024 - XVII International Congress on Rare Diseases of D´Genes Rare Diseases Association")</f>
        <v>2024 - XVII International Congress on Rare Diseases of D´Genes Rare Diseases Association</v>
      </c>
      <c r="C11" s="47" t="s">
        <v>14</v>
      </c>
      <c r="D11" s="18" t="s">
        <v>14</v>
      </c>
      <c r="E11" s="18" t="s">
        <v>346</v>
      </c>
      <c r="F11" s="17" t="s">
        <v>1191</v>
      </c>
      <c r="G11" s="5" t="s">
        <v>2031</v>
      </c>
      <c r="H11" s="18"/>
    </row>
    <row r="12" spans="1:8" ht="15.95" customHeight="1">
      <c r="A12" s="5">
        <v>8</v>
      </c>
      <c r="B12" s="17" t="str">
        <f>HYPERLINK("https://www.dgenes.es/wp-content/uploads/PROGRAMA-CONGRESO-ER-2023-24OCT.pdf","2023 - XVI International Congress on Rare Diseases of D´Genes Rare Diseases Association")</f>
        <v>2023 - XVI International Congress on Rare Diseases of D´Genes Rare Diseases Association</v>
      </c>
      <c r="C12" s="47" t="s">
        <v>14</v>
      </c>
      <c r="D12" s="18" t="s">
        <v>14</v>
      </c>
      <c r="E12" s="18" t="s">
        <v>346</v>
      </c>
      <c r="F12" s="17" t="s">
        <v>1072</v>
      </c>
      <c r="G12" s="5" t="s">
        <v>2031</v>
      </c>
      <c r="H12" s="18"/>
    </row>
    <row r="13" spans="1:8" ht="15.95" customHeight="1">
      <c r="A13" s="5">
        <v>9</v>
      </c>
      <c r="B13" s="17" t="str">
        <f>HYPERLINK("https://www.dgenes.es/wp-content/uploads/PROGRAMA-DEFINITIVO-CONGRESO-2022.pdf","2022 - XV International Congress on Rare Diseases of D´Genes Rare Diseases Association")</f>
        <v>2022 - XV International Congress on Rare Diseases of D´Genes Rare Diseases Association</v>
      </c>
      <c r="C13" s="47" t="s">
        <v>14</v>
      </c>
      <c r="D13" s="18" t="s">
        <v>14</v>
      </c>
      <c r="E13" s="18" t="s">
        <v>346</v>
      </c>
      <c r="F13" s="17" t="s">
        <v>1073</v>
      </c>
      <c r="G13" s="5" t="s">
        <v>2031</v>
      </c>
      <c r="H13" s="18"/>
    </row>
    <row r="14" spans="1:8" ht="15.95" customHeight="1">
      <c r="A14" s="5">
        <v>10</v>
      </c>
      <c r="B14" s="17" t="str">
        <f>HYPERLINK("https://www.dgenes.es/wp-content/uploads/PROGRAMA-CONGRESO-29oc.pdf","2021 - XIV International Congress on Rare Diseases of D´Genes Rare Diseases Association")</f>
        <v>2021 - XIV International Congress on Rare Diseases of D´Genes Rare Diseases Association</v>
      </c>
      <c r="C14" s="47" t="s">
        <v>14</v>
      </c>
      <c r="D14" s="18" t="s">
        <v>14</v>
      </c>
      <c r="E14" s="18" t="s">
        <v>346</v>
      </c>
      <c r="F14" s="17" t="s">
        <v>1074</v>
      </c>
      <c r="G14" s="5" t="s">
        <v>2031</v>
      </c>
      <c r="H14" s="18"/>
    </row>
    <row r="15" spans="1:8" ht="15.95" customHeight="1">
      <c r="A15" s="5">
        <v>11</v>
      </c>
      <c r="B15" s="17" t="str">
        <f>HYPERLINK("https://www.dgenes.es/wp-content/uploads/programa-congreso-23nov.pdf","2020 - XIII International Congress on Rare Diseases of D´Genes Rare Diseases Association")</f>
        <v>2020 - XIII International Congress on Rare Diseases of D´Genes Rare Diseases Association</v>
      </c>
      <c r="C15" s="47" t="s">
        <v>14</v>
      </c>
      <c r="D15" s="18" t="s">
        <v>14</v>
      </c>
      <c r="E15" s="18" t="s">
        <v>346</v>
      </c>
      <c r="F15" s="17" t="s">
        <v>1075</v>
      </c>
      <c r="G15" s="5" t="s">
        <v>2031</v>
      </c>
      <c r="H15" s="18"/>
    </row>
    <row r="16" spans="1:8" ht="15.95" customHeight="1">
      <c r="A16" s="5">
        <v>12</v>
      </c>
      <c r="B16" s="26" t="str">
        <f>HYPERLINK("https://ctnnb1-foundation.org/conference/","2024 - 2nd International Conference on CTNNB1 syndrome and Natural History Study")</f>
        <v>2024 - 2nd International Conference on CTNNB1 syndrome and Natural History Study</v>
      </c>
      <c r="C16" s="47" t="s">
        <v>14</v>
      </c>
      <c r="D16" s="18" t="s">
        <v>14</v>
      </c>
      <c r="E16" s="18" t="s">
        <v>1135</v>
      </c>
      <c r="F16" s="17" t="s">
        <v>1136</v>
      </c>
      <c r="G16" s="5" t="s">
        <v>2031</v>
      </c>
      <c r="H16" s="18"/>
    </row>
    <row r="17" spans="1:8" ht="15.95" customHeight="1">
      <c r="A17" s="5">
        <v>13</v>
      </c>
      <c r="B17" s="25" t="str">
        <f>HYPERLINK("https://ctnnb1-conference.org/index.php#anchor-program","2023 - 1st International Conference on CTNNB1 syndrome and Natural History Study")</f>
        <v>2023 - 1st International Conference on CTNNB1 syndrome and Natural History Study</v>
      </c>
      <c r="C17" s="47" t="s">
        <v>14</v>
      </c>
      <c r="D17" s="18" t="s">
        <v>14</v>
      </c>
      <c r="E17" s="18" t="s">
        <v>1135</v>
      </c>
      <c r="F17" s="17" t="s">
        <v>1137</v>
      </c>
      <c r="G17" s="5" t="s">
        <v>2031</v>
      </c>
      <c r="H17" s="18"/>
    </row>
    <row r="18" spans="1:8" ht="15.95" customHeight="1">
      <c r="A18" s="5">
        <v>14</v>
      </c>
      <c r="B18" s="17" t="str">
        <f>HYPERLINK("https://www.react-congress.org/2023/wp-content/uploads/React_Congress_Brochure_2023.pdf","2023 - 7th Congress on RE(ACT) and 5th International Rare Diseases Research Consortium")</f>
        <v>2023 - 7th Congress on RE(ACT) and 5th International Rare Diseases Research Consortium</v>
      </c>
      <c r="C18" s="47" t="s">
        <v>14</v>
      </c>
      <c r="D18" s="18" t="s">
        <v>14</v>
      </c>
      <c r="E18" s="18" t="s">
        <v>1131</v>
      </c>
      <c r="F18" s="17" t="s">
        <v>1132</v>
      </c>
      <c r="G18" s="5" t="s">
        <v>2031</v>
      </c>
      <c r="H18" s="18"/>
    </row>
    <row r="19" spans="1:8" ht="15.95" customHeight="1">
      <c r="A19" s="5">
        <v>15</v>
      </c>
      <c r="B19" s="17" t="str">
        <f>HYPERLINK("https://irdirc.org/wp-content/uploads/2022/11/Agenda-Conference-on-Clinical-Research-Networks_Vf.pdf","2022 - International Conference on Clinical Research Networks for Rare Diseases")</f>
        <v>2022 - International Conference on Clinical Research Networks for Rare Diseases</v>
      </c>
      <c r="C19" s="47" t="s">
        <v>14</v>
      </c>
      <c r="D19" s="18" t="s">
        <v>14</v>
      </c>
      <c r="E19" s="18" t="s">
        <v>1131</v>
      </c>
      <c r="F19" s="17" t="s">
        <v>1134</v>
      </c>
      <c r="G19" s="5" t="s">
        <v>2031</v>
      </c>
      <c r="H19" s="18"/>
    </row>
    <row r="20" spans="1:8" ht="15.95" customHeight="1">
      <c r="A20" s="5">
        <v>16</v>
      </c>
      <c r="B20" s="17" t="str">
        <f>HYPERLINK("https://www.react-congress.org/2021/wp-content/uploads/Abstract_book_REACTxIRDIRCongress_2021.pdf","2021 - 6th Congress on RE(ACT) and 4th International Rare Diseases Research Consortium")</f>
        <v>2021 - 6th Congress on RE(ACT) and 4th International Rare Diseases Research Consortium</v>
      </c>
      <c r="C20" s="47" t="s">
        <v>14</v>
      </c>
      <c r="D20" s="18" t="s">
        <v>14</v>
      </c>
      <c r="E20" s="18" t="s">
        <v>1131</v>
      </c>
      <c r="F20" s="17" t="s">
        <v>1133</v>
      </c>
      <c r="G20" s="5" t="s">
        <v>2031</v>
      </c>
      <c r="H20" s="18"/>
    </row>
    <row r="21" spans="1:8" ht="15.95" customHeight="1">
      <c r="A21" s="5">
        <v>17</v>
      </c>
      <c r="B21" s="17" t="str">
        <f>HYPERLINK("https://www.focisnet.org/wp-content/uploads/FOCIS2024_Program_FINAL.pdf","2024 - Annual Meeting of the Federation of Clinical Immunology Societies")</f>
        <v>2024 - Annual Meeting of the Federation of Clinical Immunology Societies</v>
      </c>
      <c r="C21" s="47" t="s">
        <v>14</v>
      </c>
      <c r="D21" s="18" t="s">
        <v>14</v>
      </c>
      <c r="E21" s="18" t="s">
        <v>384</v>
      </c>
      <c r="F21" s="17" t="s">
        <v>931</v>
      </c>
      <c r="G21" s="5">
        <v>3</v>
      </c>
      <c r="H21" s="18"/>
    </row>
    <row r="22" spans="1:8" ht="15.95" customHeight="1">
      <c r="A22" s="5">
        <v>18</v>
      </c>
      <c r="B22" s="17" t="str">
        <f>HYPERLINK("https://www.focisnet.org/wp-content/uploads/FOCIS-2023-Program-1.pdf","2023 - Annual Meeting of the Federation of Clinical Immunology Societies")</f>
        <v>2023 - Annual Meeting of the Federation of Clinical Immunology Societies</v>
      </c>
      <c r="C22" s="47" t="s">
        <v>14</v>
      </c>
      <c r="D22" s="18" t="s">
        <v>14</v>
      </c>
      <c r="E22" s="18" t="s">
        <v>384</v>
      </c>
      <c r="F22" s="17" t="s">
        <v>932</v>
      </c>
      <c r="G22" s="5">
        <v>3</v>
      </c>
      <c r="H22" s="18"/>
    </row>
    <row r="23" spans="1:8" ht="15.95" customHeight="1">
      <c r="A23" s="5">
        <v>19</v>
      </c>
      <c r="B23" s="17" t="str">
        <f>HYPERLINK("https://cdn.ymaws.com/focisnet.site-ym.com/resource/resmgr/files/focis_2022/focis2022_program_reduced_fo.pdf","2022 - Annual Meeting of the Federation of Clinical Immunology Societies")</f>
        <v>2022 - Annual Meeting of the Federation of Clinical Immunology Societies</v>
      </c>
      <c r="C23" s="47" t="s">
        <v>14</v>
      </c>
      <c r="D23" s="18" t="s">
        <v>14</v>
      </c>
      <c r="E23" s="18" t="s">
        <v>384</v>
      </c>
      <c r="F23" s="17" t="s">
        <v>933</v>
      </c>
      <c r="G23" s="5">
        <v>3</v>
      </c>
      <c r="H23" s="18"/>
    </row>
    <row r="24" spans="1:8" ht="15.95" customHeight="1">
      <c r="A24" s="5">
        <v>20</v>
      </c>
      <c r="B24" s="17" t="str">
        <f>HYPERLINK("https://cdn.ymaws.com/focisnet.site-ym.com/resource/resmgr/focis_2021_final_program.pdf","2021 - Annual Meeting of the Federation of Clinical Immunology Societies")</f>
        <v>2021 - Annual Meeting of the Federation of Clinical Immunology Societies</v>
      </c>
      <c r="C24" s="47" t="s">
        <v>14</v>
      </c>
      <c r="D24" s="18" t="s">
        <v>14</v>
      </c>
      <c r="E24" s="18" t="s">
        <v>384</v>
      </c>
      <c r="F24" s="17" t="s">
        <v>934</v>
      </c>
      <c r="G24" s="5">
        <v>3</v>
      </c>
      <c r="H24" s="18"/>
    </row>
    <row r="25" spans="1:8" ht="15.95" customHeight="1">
      <c r="A25" s="5">
        <v>21</v>
      </c>
      <c r="B25" s="17" t="str">
        <f>HYPERLINK("https://www.focisnet.org/wp-content/uploads/FOCIS2020_Program_Final-compressed-compressed.pdf","2020 - Annual Meeting of the Federation of Clinical Immunology Societies")</f>
        <v>2020 - Annual Meeting of the Federation of Clinical Immunology Societies</v>
      </c>
      <c r="C25" s="47" t="s">
        <v>14</v>
      </c>
      <c r="D25" s="18" t="s">
        <v>14</v>
      </c>
      <c r="E25" s="18" t="s">
        <v>384</v>
      </c>
      <c r="F25" s="17" t="s">
        <v>935</v>
      </c>
      <c r="G25" s="5">
        <v>3</v>
      </c>
      <c r="H25" s="18"/>
    </row>
    <row r="26" spans="1:8" ht="15.95" customHeight="1">
      <c r="A26" s="5">
        <v>22</v>
      </c>
      <c r="B26" s="17" t="str">
        <f>HYPERLINK("https://main.fpid.org/product/pid_newport_24/","2024 - 19th International Symposium on Inborn Error of Immunity: Inborn Errors of JAK-STAT Pathway of Foundation for Primary Immunodeficiency Diseases")</f>
        <v>2024 - 19th International Symposium on Inborn Error of Immunity: Inborn Errors of JAK-STAT Pathway of Foundation for Primary Immunodeficiency Diseases</v>
      </c>
      <c r="C26" s="47" t="s">
        <v>14</v>
      </c>
      <c r="D26" s="18" t="s">
        <v>14</v>
      </c>
      <c r="E26" s="18" t="s">
        <v>291</v>
      </c>
      <c r="F26" s="17" t="s">
        <v>2040</v>
      </c>
      <c r="G26" s="5">
        <v>1</v>
      </c>
      <c r="H26" s="18"/>
    </row>
    <row r="27" spans="1:8" ht="15.95" customHeight="1">
      <c r="A27" s="5">
        <v>23</v>
      </c>
      <c r="B27" s="17" t="str">
        <f>HYPERLINK("https://az659834.vo.msecnd.net/eventsairaueprod/production-waldronsmith-public/3edc702495bd4fc1bd5d06fc83b2acb9","2023 - XXIII International Congress of Genetics of French Society of Genetics")</f>
        <v>2023 - XXIII International Congress of Genetics of French Society of Genetics</v>
      </c>
      <c r="C27" s="47" t="s">
        <v>14</v>
      </c>
      <c r="D27" s="18" t="s">
        <v>14</v>
      </c>
      <c r="E27" s="18" t="s">
        <v>1788</v>
      </c>
      <c r="F27" s="17" t="s">
        <v>1972</v>
      </c>
      <c r="G27" s="5" t="s">
        <v>2030</v>
      </c>
      <c r="H27" s="18"/>
    </row>
    <row r="28" spans="1:8" ht="15.95" customHeight="1">
      <c r="A28" s="5">
        <v>24</v>
      </c>
      <c r="B28" s="17" t="str">
        <f>HYPERLINK("https://broadinstitute.swoogo.com/ga4gh-connect-2024/agenda","2024 - April Connect Meeting GA4GH")</f>
        <v>2024 - April Connect Meeting GA4GH</v>
      </c>
      <c r="C28" s="47" t="s">
        <v>14</v>
      </c>
      <c r="D28" s="18" t="s">
        <v>14</v>
      </c>
      <c r="E28" s="18" t="s">
        <v>1844</v>
      </c>
      <c r="F28" s="17" t="s">
        <v>1990</v>
      </c>
      <c r="G28" s="5" t="s">
        <v>2030</v>
      </c>
      <c r="H28" s="18"/>
    </row>
    <row r="29" spans="1:8" ht="15.95" customHeight="1">
      <c r="A29" s="5">
        <v>25</v>
      </c>
      <c r="B29" s="17" t="str">
        <f>HYPERLINK("https://broadinstitute.swoogo.com/ga4ghaprilconnect23/agenda","2023 - April Connect Meeting GA4GH")</f>
        <v>2023 - April Connect Meeting GA4GH</v>
      </c>
      <c r="C29" s="47" t="s">
        <v>14</v>
      </c>
      <c r="D29" s="18" t="s">
        <v>14</v>
      </c>
      <c r="E29" s="18" t="s">
        <v>1844</v>
      </c>
      <c r="F29" s="17" t="s">
        <v>1991</v>
      </c>
      <c r="G29" s="5" t="s">
        <v>2030</v>
      </c>
      <c r="H29" s="18"/>
    </row>
    <row r="30" spans="1:8" ht="15.95" customHeight="1">
      <c r="A30" s="5">
        <v>26</v>
      </c>
      <c r="B30" s="17" t="str">
        <f>HYPERLINK("https://www.ga4gh.org/event/april-connect-2022/","2022 - April Connect Meeting GA4GH")</f>
        <v>2022 - April Connect Meeting GA4GH</v>
      </c>
      <c r="C30" s="47" t="s">
        <v>14</v>
      </c>
      <c r="D30" s="18" t="s">
        <v>14</v>
      </c>
      <c r="E30" s="18" t="s">
        <v>1844</v>
      </c>
      <c r="F30" s="17" t="s">
        <v>1992</v>
      </c>
      <c r="G30" s="5" t="s">
        <v>2030</v>
      </c>
      <c r="H30" s="18"/>
    </row>
    <row r="31" spans="1:8" ht="15.95" customHeight="1">
      <c r="A31" s="5">
        <v>27</v>
      </c>
      <c r="B31" s="17" t="str">
        <f>HYPERLINK("https://events.eventact.com/upsrl/35717/WebSitePage/uploads/HGM_2024_Full_programme_A4-0804_compressed.pdf?webid=7438875120","2024 - 27th Human Genome Meeting")</f>
        <v>2024 - 27th Human Genome Meeting</v>
      </c>
      <c r="C31" s="47" t="s">
        <v>14</v>
      </c>
      <c r="D31" s="18" t="s">
        <v>14</v>
      </c>
      <c r="E31" s="18" t="s">
        <v>1830</v>
      </c>
      <c r="F31" s="17" t="s">
        <v>2004</v>
      </c>
      <c r="G31" s="5" t="s">
        <v>2030</v>
      </c>
      <c r="H31" s="18"/>
    </row>
    <row r="32" spans="1:8" ht="15.95" customHeight="1">
      <c r="A32" s="5">
        <v>28</v>
      </c>
      <c r="B32" s="17" t="str">
        <f>HYPERLINK("https://www.emedevents.com/c/medical-conferences-2023/human-genome-meeting-hgm-2023","2023 - 26th Human Genome Meeting")</f>
        <v>2023 - 26th Human Genome Meeting</v>
      </c>
      <c r="C32" s="47" t="s">
        <v>14</v>
      </c>
      <c r="D32" s="18" t="s">
        <v>14</v>
      </c>
      <c r="E32" s="18" t="s">
        <v>1830</v>
      </c>
      <c r="F32" s="17" t="s">
        <v>2005</v>
      </c>
      <c r="G32" s="5" t="s">
        <v>2030</v>
      </c>
      <c r="H32" s="18"/>
    </row>
    <row r="33" spans="1:8" ht="15.95" customHeight="1">
      <c r="A33" s="5">
        <v>29</v>
      </c>
      <c r="B33" s="17" t="str">
        <f>HYPERLINK("https://www.emedevents.com/c/medical-conferences-2022/the-25th-human-genome-meeting-hgm","2022 - 25th Human Genome Meeting")</f>
        <v>2022 - 25th Human Genome Meeting</v>
      </c>
      <c r="C33" s="47" t="s">
        <v>14</v>
      </c>
      <c r="D33" s="18" t="s">
        <v>14</v>
      </c>
      <c r="E33" s="18" t="s">
        <v>2006</v>
      </c>
      <c r="F33" s="17" t="s">
        <v>2007</v>
      </c>
      <c r="G33" s="5" t="s">
        <v>2030</v>
      </c>
      <c r="H33" s="18"/>
    </row>
    <row r="34" spans="1:8" ht="15.95" customHeight="1">
      <c r="A34" s="5">
        <v>30</v>
      </c>
      <c r="B34" s="17" t="str">
        <f>HYPERLINK("https://onlinelibrary.wiley.com/doi/full/10.1002/ajmg.a.62512","2020 - 24th Human Genome Virtual Meeting")</f>
        <v>2020 - 24th Human Genome Virtual Meeting</v>
      </c>
      <c r="C34" s="47" t="s">
        <v>14</v>
      </c>
      <c r="D34" s="18" t="s">
        <v>14</v>
      </c>
      <c r="E34" s="18" t="s">
        <v>1830</v>
      </c>
      <c r="F34" s="17" t="s">
        <v>2008</v>
      </c>
      <c r="G34" s="5" t="s">
        <v>2030</v>
      </c>
      <c r="H34" s="18"/>
    </row>
    <row r="35" spans="1:8" ht="15.95" customHeight="1">
      <c r="A35" s="5">
        <v>31</v>
      </c>
      <c r="B35" s="17" t="str">
        <f>HYPERLINK("http://events.hgvs.org/program.html","2021 - Scientific Meeting of the Human Genome Variation Society")</f>
        <v>2021 - Scientific Meeting of the Human Genome Variation Society</v>
      </c>
      <c r="C35" s="47" t="s">
        <v>14</v>
      </c>
      <c r="D35" s="18" t="s">
        <v>14</v>
      </c>
      <c r="E35" s="18" t="s">
        <v>1842</v>
      </c>
      <c r="F35" s="17" t="s">
        <v>1951</v>
      </c>
      <c r="G35" s="5" t="s">
        <v>2030</v>
      </c>
      <c r="H35" s="18"/>
    </row>
    <row r="36" spans="1:8" ht="15.95" customHeight="1">
      <c r="A36" s="5">
        <v>32</v>
      </c>
      <c r="B36" s="17" t="str">
        <f>HYPERLINK("https://icord.es/wp-content/uploads/2024/07/Program-16th-Annual-ICORD-Meeting.pdf","2024 - 16th Annual Meeting of International Collaboration on Rare Diseases &amp; Orphan Drugs (ICORD)")</f>
        <v>2024 - 16th Annual Meeting of International Collaboration on Rare Diseases &amp; Orphan Drugs (ICORD)</v>
      </c>
      <c r="C36" s="47" t="s">
        <v>14</v>
      </c>
      <c r="D36" s="18" t="s">
        <v>14</v>
      </c>
      <c r="E36" s="18" t="s">
        <v>480</v>
      </c>
      <c r="F36" s="17" t="s">
        <v>1184</v>
      </c>
      <c r="G36" s="5" t="s">
        <v>2031</v>
      </c>
      <c r="H36" s="18"/>
    </row>
    <row r="37" spans="1:8" ht="15.95" customHeight="1">
      <c r="A37" s="5">
        <v>33</v>
      </c>
      <c r="B37" s="17" t="str">
        <f>HYPERLINK("https://icord.es/15th-icord-conference-6th-7th-february-2023","2023 - 15th Annual Meeting of International Collaboration on Rare Diseases &amp; Orphan Drugs (ICORD)")</f>
        <v>2023 - 15th Annual Meeting of International Collaboration on Rare Diseases &amp; Orphan Drugs (ICORD)</v>
      </c>
      <c r="C37" s="47" t="s">
        <v>14</v>
      </c>
      <c r="D37" s="18" t="s">
        <v>14</v>
      </c>
      <c r="E37" s="18" t="s">
        <v>480</v>
      </c>
      <c r="F37" s="17" t="s">
        <v>1185</v>
      </c>
      <c r="G37" s="5" t="s">
        <v>2031</v>
      </c>
      <c r="H37" s="18"/>
    </row>
    <row r="38" spans="1:8" ht="15.95" customHeight="1">
      <c r="A38" s="5">
        <v>34</v>
      </c>
      <c r="B38" s="17" t="str">
        <f>HYPERLINK("https://www.ichg2023.com/wp-content/uploads/2023/02/ICHG-2023-Programme-15112022-MR-Edits.pdf","2023 - 14th International Congress of Human Genetics")</f>
        <v>2023 - 14th International Congress of Human Genetics</v>
      </c>
      <c r="C38" s="47" t="s">
        <v>14</v>
      </c>
      <c r="D38" s="18" t="s">
        <v>14</v>
      </c>
      <c r="E38" s="18" t="s">
        <v>1836</v>
      </c>
      <c r="F38" s="17" t="s">
        <v>2013</v>
      </c>
      <c r="G38" s="5" t="s">
        <v>2030</v>
      </c>
      <c r="H38" s="18"/>
    </row>
    <row r="39" spans="1:8" ht="15.95" customHeight="1">
      <c r="A39" s="5">
        <v>35</v>
      </c>
      <c r="B39" s="17" t="str">
        <f>HYPERLINK("https://cslide.ctimeetingtech.com/esid24/attendee","2024 - 21st Biennial Meeting of the European Society for Immunodeficiencies and International Nursing Group for Immunodeficiencies")</f>
        <v>2024 - 21st Biennial Meeting of the European Society for Immunodeficiencies and International Nursing Group for Immunodeficiencies</v>
      </c>
      <c r="C39" s="47" t="s">
        <v>14</v>
      </c>
      <c r="D39" s="18" t="s">
        <v>14</v>
      </c>
      <c r="E39" s="18" t="s">
        <v>1083</v>
      </c>
      <c r="F39" s="17" t="s">
        <v>1084</v>
      </c>
      <c r="G39" s="5">
        <v>2</v>
      </c>
      <c r="H39" s="18"/>
    </row>
    <row r="40" spans="1:8" ht="15.95" customHeight="1">
      <c r="A40" s="5">
        <v>36</v>
      </c>
      <c r="B40" s="17" t="str">
        <f>HYPERLINK("https://cslide.ctimeetingtech.com/esid22/attendee/confcal/presentation","2022 - 20th Biennial Meeting of the European Society for Immunodeficiencies and International Nursing Group for Immunodeficiencies")</f>
        <v>2022 - 20th Biennial Meeting of the European Society for Immunodeficiencies and International Nursing Group for Immunodeficiencies</v>
      </c>
      <c r="C40" s="47" t="s">
        <v>14</v>
      </c>
      <c r="D40" s="18" t="s">
        <v>14</v>
      </c>
      <c r="E40" s="18" t="s">
        <v>1083</v>
      </c>
      <c r="F40" s="17" t="s">
        <v>1085</v>
      </c>
      <c r="G40" s="5">
        <v>2</v>
      </c>
      <c r="H40" s="18"/>
    </row>
    <row r="41" spans="1:8" ht="15.95" customHeight="1">
      <c r="A41" s="5">
        <v>37</v>
      </c>
      <c r="B41" s="17" t="str">
        <f>HYPERLINK("https://cslide.ctimeetingtech.com/esid21/attendee/confcal/presentation","2021 - Online Symposium of the European Society for Immunodeficiencies and International Nursing Group for Immunodeficiencies")</f>
        <v>2021 - Online Symposium of the European Society for Immunodeficiencies and International Nursing Group for Immunodeficiencies</v>
      </c>
      <c r="C41" s="47" t="s">
        <v>14</v>
      </c>
      <c r="D41" s="18" t="s">
        <v>14</v>
      </c>
      <c r="E41" s="18" t="s">
        <v>1083</v>
      </c>
      <c r="F41" s="17" t="s">
        <v>1087</v>
      </c>
      <c r="G41" s="5">
        <v>2</v>
      </c>
      <c r="H41" s="18"/>
    </row>
    <row r="42" spans="1:8" ht="15.95" customHeight="1">
      <c r="A42" s="5">
        <v>38</v>
      </c>
      <c r="B42" s="17" t="str">
        <f>HYPERLINK("https://cslide.ctimeetingtech.com/esid20/attendee/confcal/presentation","2020 - 19th Biennial Meeting of the European Society for Immunodeficiencies and International Nursing Group for Immunodeficiencies")</f>
        <v>2020 - 19th Biennial Meeting of the European Society for Immunodeficiencies and International Nursing Group for Immunodeficiencies</v>
      </c>
      <c r="C42" s="47" t="s">
        <v>14</v>
      </c>
      <c r="D42" s="18" t="s">
        <v>14</v>
      </c>
      <c r="E42" s="18" t="s">
        <v>1083</v>
      </c>
      <c r="F42" s="17" t="s">
        <v>1086</v>
      </c>
      <c r="G42" s="5">
        <v>2</v>
      </c>
      <c r="H42" s="18"/>
    </row>
    <row r="43" spans="1:8" ht="15.95" customHeight="1">
      <c r="A43" s="5">
        <v>39</v>
      </c>
      <c r="B43" s="17" t="str">
        <f>HYPERLINK("https://ipopi.org/wp-content/uploads/2024/07/IPIC2023_congress_report_FINAL.pdf","2023 - 6th International Primary Immunodeficiencies Congress (IPIC) of International Patient Organization for Primary Immunodeficiencies (IPOPI)")</f>
        <v>2023 - 6th International Primary Immunodeficiencies Congress (IPIC) of International Patient Organization for Primary Immunodeficiencies (IPOPI)</v>
      </c>
      <c r="C43" s="47" t="s">
        <v>14</v>
      </c>
      <c r="D43" s="18" t="s">
        <v>14</v>
      </c>
      <c r="E43" s="18" t="s">
        <v>271</v>
      </c>
      <c r="F43" s="17" t="s">
        <v>2039</v>
      </c>
      <c r="G43" s="5">
        <v>1</v>
      </c>
      <c r="H43" s="18"/>
    </row>
    <row r="44" spans="1:8" ht="15.95" customHeight="1">
      <c r="A44" s="5">
        <v>40</v>
      </c>
      <c r="B44" s="24" t="str">
        <f>HYPERLINK("https://ipopi.org/wp-content/uploads/2024/06/IPIC5_congress_report_long_WEB.pdf","2022 - 5th International Primary Immunodeficiencies Congress (IPIC) of International Patient Organization for Primary Immunodeficiencies (IPOPI)")</f>
        <v>2022 - 5th International Primary Immunodeficiencies Congress (IPIC) of International Patient Organization for Primary Immunodeficiencies (IPOPI)</v>
      </c>
      <c r="C44" s="47" t="s">
        <v>14</v>
      </c>
      <c r="D44" s="18" t="s">
        <v>14</v>
      </c>
      <c r="E44" s="18" t="s">
        <v>271</v>
      </c>
      <c r="F44" s="17" t="s">
        <v>1061</v>
      </c>
      <c r="G44" s="5">
        <v>1</v>
      </c>
      <c r="H44" s="18"/>
    </row>
    <row r="45" spans="1:8" ht="15.95" customHeight="1">
      <c r="A45" s="5">
        <v>41</v>
      </c>
      <c r="B45" s="17" t="str">
        <f>HYPERLINK("https://www.isong.org/event-5702722","2024 - World Congress of the International Society of Nurses in Genetics")</f>
        <v>2024 - World Congress of the International Society of Nurses in Genetics</v>
      </c>
      <c r="C45" s="47" t="s">
        <v>14</v>
      </c>
      <c r="D45" s="18" t="s">
        <v>14</v>
      </c>
      <c r="E45" s="18" t="s">
        <v>1815</v>
      </c>
      <c r="F45" s="17" t="s">
        <v>2015</v>
      </c>
      <c r="G45" s="5" t="s">
        <v>2030</v>
      </c>
      <c r="H45" s="18"/>
    </row>
    <row r="46" spans="1:8" ht="15.95" customHeight="1">
      <c r="A46" s="5">
        <v>42</v>
      </c>
      <c r="B46" s="17" t="str">
        <f>HYPERLINK("https://www.isong.org/2023-WC-Agenda","2023 - World Congress of the International Society of Nurses in Genetics")</f>
        <v>2023 - World Congress of the International Society of Nurses in Genetics</v>
      </c>
      <c r="C46" s="47" t="s">
        <v>14</v>
      </c>
      <c r="D46" s="18" t="s">
        <v>14</v>
      </c>
      <c r="E46" s="18" t="s">
        <v>1815</v>
      </c>
      <c r="F46" s="17" t="s">
        <v>1948</v>
      </c>
      <c r="G46" s="5" t="s">
        <v>2030</v>
      </c>
      <c r="H46" s="18"/>
    </row>
    <row r="47" spans="1:8" ht="15.95" customHeight="1">
      <c r="A47" s="5">
        <v>43</v>
      </c>
      <c r="B47" s="17" t="str">
        <f>HYPERLINK("https://static.emedevents.com/uploads/conferences/session_brochure/cb33d387fd1398bbbaa9c4df751a0dba.pdf","2022 - World Congress of the International Society of Nurses in Genetics")</f>
        <v>2022 - World Congress of the International Society of Nurses in Genetics</v>
      </c>
      <c r="C47" s="47" t="s">
        <v>14</v>
      </c>
      <c r="D47" s="18" t="s">
        <v>14</v>
      </c>
      <c r="E47" s="18" t="s">
        <v>1815</v>
      </c>
      <c r="F47" s="17" t="s">
        <v>1949</v>
      </c>
      <c r="G47" s="5" t="s">
        <v>2030</v>
      </c>
      <c r="H47" s="18"/>
    </row>
    <row r="48" spans="1:8" ht="15.95" customHeight="1">
      <c r="A48" s="5">
        <v>44</v>
      </c>
      <c r="B48" s="17" t="str">
        <f>HYPERLINK("https://www.isong.org/event-4191684","2021 - World Congress of the International Society of Nurses in Genetics")</f>
        <v>2021 - World Congress of the International Society of Nurses in Genetics</v>
      </c>
      <c r="C48" s="47" t="s">
        <v>14</v>
      </c>
      <c r="D48" s="18" t="s">
        <v>14</v>
      </c>
      <c r="E48" s="18" t="s">
        <v>1815</v>
      </c>
      <c r="F48" s="17" t="s">
        <v>1950</v>
      </c>
      <c r="G48" s="5" t="s">
        <v>2030</v>
      </c>
      <c r="H48" s="18"/>
    </row>
    <row r="49" spans="1:8" ht="15.95" customHeight="1">
      <c r="A49" s="5">
        <v>45</v>
      </c>
      <c r="B49" s="17" t="str">
        <f>HYPERLINK("https://www.isong.org/event-3690302","2020 - World Congress of the International Society of Nurses in Genetics")</f>
        <v>2020 - World Congress of the International Society of Nurses in Genetics</v>
      </c>
      <c r="C49" s="47" t="s">
        <v>14</v>
      </c>
      <c r="D49" s="18" t="s">
        <v>14</v>
      </c>
      <c r="E49" s="18" t="s">
        <v>1815</v>
      </c>
      <c r="F49" s="17" t="s">
        <v>2016</v>
      </c>
      <c r="G49" s="5" t="s">
        <v>2030</v>
      </c>
      <c r="H49" s="18"/>
    </row>
    <row r="50" spans="1:8" ht="15.95" customHeight="1">
      <c r="A50" s="5">
        <v>46</v>
      </c>
      <c r="B50" s="17" t="str">
        <f>HYPERLINK("https://fams-apps.kit-group.org/iuis2023/en-GB/pag?viewType=calendar&amp;view=vertical&amp;viewSize=L","2023 - 18th International Congress of Immunology of the International Union of Immunological Societies")</f>
        <v>2023 - 18th International Congress of Immunology of the International Union of Immunological Societies</v>
      </c>
      <c r="C50" s="47" t="s">
        <v>14</v>
      </c>
      <c r="D50" s="18" t="s">
        <v>14</v>
      </c>
      <c r="E50" s="18" t="s">
        <v>386</v>
      </c>
      <c r="F50" s="17" t="s">
        <v>1015</v>
      </c>
      <c r="G50" s="5">
        <v>3</v>
      </c>
      <c r="H50" s="18"/>
    </row>
    <row r="51" spans="1:8" ht="15.95" customHeight="1">
      <c r="A51" s="5">
        <v>47</v>
      </c>
      <c r="B51" s="17" t="str">
        <f>HYPERLINK("https://kaaaci.or.kr/2024s/program/detail.php","2024 - International Conference on Korean Academy of Asthma, Allergy and Clinical Immunology")</f>
        <v>2024 - International Conference on Korean Academy of Asthma, Allergy and Clinical Immunology</v>
      </c>
      <c r="C51" s="47" t="s">
        <v>14</v>
      </c>
      <c r="D51" s="18" t="s">
        <v>14</v>
      </c>
      <c r="E51" s="18" t="s">
        <v>454</v>
      </c>
      <c r="F51" s="17" t="s">
        <v>1143</v>
      </c>
      <c r="G51" s="5">
        <v>3</v>
      </c>
      <c r="H51" s="18"/>
    </row>
    <row r="52" spans="1:8" ht="15.95" customHeight="1">
      <c r="A52" s="5">
        <v>48</v>
      </c>
      <c r="B52" s="17" t="str">
        <f>HYPERLINK("https://kaaaci.or.kr/2023s/program/glance.php","2023 - International Conference on Korean Academy of Asthma, Allergy and Clinical Immunology")</f>
        <v>2023 - International Conference on Korean Academy of Asthma, Allergy and Clinical Immunology</v>
      </c>
      <c r="C52" s="47" t="s">
        <v>14</v>
      </c>
      <c r="D52" s="18" t="s">
        <v>14</v>
      </c>
      <c r="E52" s="18" t="s">
        <v>454</v>
      </c>
      <c r="F52" s="17" t="s">
        <v>1144</v>
      </c>
      <c r="G52" s="5">
        <v>3</v>
      </c>
      <c r="H52" s="18"/>
    </row>
    <row r="53" spans="1:8" ht="15.95" customHeight="1">
      <c r="A53" s="5">
        <v>49</v>
      </c>
      <c r="B53" s="17" t="str">
        <f>HYPERLINK("https://www.kaaaci.or.kr/2022s/content/program.php","2022 - International Conference on Korean Academy of Asthma, Allergy and Clinical Immunology")</f>
        <v>2022 - International Conference on Korean Academy of Asthma, Allergy and Clinical Immunology</v>
      </c>
      <c r="C53" s="47" t="s">
        <v>14</v>
      </c>
      <c r="D53" s="18" t="s">
        <v>14</v>
      </c>
      <c r="E53" s="18" t="s">
        <v>454</v>
      </c>
      <c r="F53" s="17" t="s">
        <v>1145</v>
      </c>
      <c r="G53" s="5">
        <v>3</v>
      </c>
      <c r="H53" s="18"/>
    </row>
    <row r="54" spans="1:8" ht="15.95" customHeight="1">
      <c r="A54" s="5">
        <v>50</v>
      </c>
      <c r="B54" s="17" t="str">
        <f>HYPERLINK("https://www.kaaaci.or.kr/2021s/content/program.php","2021 - International Conference on Korean Academy of Asthma, Allergy and Clinical Immunology")</f>
        <v>2021 - International Conference on Korean Academy of Asthma, Allergy and Clinical Immunology</v>
      </c>
      <c r="C54" s="47" t="s">
        <v>14</v>
      </c>
      <c r="D54" s="18" t="s">
        <v>14</v>
      </c>
      <c r="E54" s="18" t="s">
        <v>454</v>
      </c>
      <c r="F54" s="17" t="s">
        <v>1146</v>
      </c>
      <c r="G54" s="5">
        <v>3</v>
      </c>
      <c r="H54" s="18"/>
    </row>
    <row r="55" spans="1:8" ht="15.95" customHeight="1">
      <c r="A55" s="5">
        <v>51</v>
      </c>
      <c r="B55" s="17" t="str">
        <f>HYPERLINK("https://www.kaaaci.or.kr/2020s/content/program.php","2020 - International Conference on Korean Academy of Asthma, Allergy and Clinical Immunology")</f>
        <v>2020 - International Conference on Korean Academy of Asthma, Allergy and Clinical Immunology</v>
      </c>
      <c r="C55" s="47" t="s">
        <v>14</v>
      </c>
      <c r="D55" s="18" t="s">
        <v>14</v>
      </c>
      <c r="E55" s="18" t="s">
        <v>454</v>
      </c>
      <c r="F55" s="17" t="s">
        <v>1147</v>
      </c>
      <c r="G55" s="5">
        <v>3</v>
      </c>
      <c r="H55" s="18"/>
    </row>
    <row r="56" spans="1:8" ht="15.95" customHeight="1">
      <c r="A56" s="5">
        <v>52</v>
      </c>
      <c r="B56" s="17" t="str">
        <f>HYPERLINK("https://www.kai2023.kr/?pmode=scientificprogram","2023 - International Meeting of the Korean Association of Immunologists")</f>
        <v>2023 - International Meeting of the Korean Association of Immunologists</v>
      </c>
      <c r="C56" s="47" t="s">
        <v>14</v>
      </c>
      <c r="D56" s="18" t="s">
        <v>14</v>
      </c>
      <c r="E56" s="18" t="s">
        <v>406</v>
      </c>
      <c r="F56" s="17" t="s">
        <v>924</v>
      </c>
      <c r="G56" s="5">
        <v>3</v>
      </c>
      <c r="H56" s="18"/>
    </row>
    <row r="57" spans="1:8" ht="15.95" customHeight="1">
      <c r="A57" s="5">
        <v>53</v>
      </c>
      <c r="B57" s="17" t="str">
        <f>HYPERLINK("https://iuis.org/events/the-korean-association-of-immunologists-kai-international-meeting-2022/","2022 - International Meeting of the Korean Association of Immunologists")</f>
        <v>2022 - International Meeting of the Korean Association of Immunologists</v>
      </c>
      <c r="C57" s="47" t="s">
        <v>14</v>
      </c>
      <c r="D57" s="18" t="s">
        <v>14</v>
      </c>
      <c r="E57" s="18" t="s">
        <v>406</v>
      </c>
      <c r="F57" s="17" t="s">
        <v>925</v>
      </c>
      <c r="G57" s="5">
        <v>3</v>
      </c>
      <c r="H57" s="18"/>
    </row>
    <row r="58" spans="1:8" ht="15.95" customHeight="1">
      <c r="A58" s="5">
        <v>54</v>
      </c>
      <c r="B58" s="17" t="str">
        <f>HYPERLINK("https://iuis.org/events/the-korean-association-of-immunologists-international-meeting-2021-hybrid/","2021 - International Meeting of the Korean Association of Immunologists")</f>
        <v>2021 - International Meeting of the Korean Association of Immunologists</v>
      </c>
      <c r="C58" s="47" t="s">
        <v>14</v>
      </c>
      <c r="D58" s="18" t="s">
        <v>14</v>
      </c>
      <c r="E58" s="18" t="s">
        <v>406</v>
      </c>
      <c r="F58" s="17" t="s">
        <v>926</v>
      </c>
      <c r="G58" s="5">
        <v>3</v>
      </c>
      <c r="H58" s="18"/>
    </row>
    <row r="59" spans="1:8" ht="15.95" customHeight="1">
      <c r="A59" s="5">
        <v>55</v>
      </c>
      <c r="B59" s="17" t="str">
        <f>HYPERLINK("https://www.kaimm.org/abstract/2020_fall/program/scientific.html","2020 - International Meeting of the Korean Association of Immunologists")</f>
        <v>2020 - International Meeting of the Korean Association of Immunologists</v>
      </c>
      <c r="C59" s="47" t="s">
        <v>14</v>
      </c>
      <c r="D59" s="18" t="s">
        <v>14</v>
      </c>
      <c r="E59" s="18" t="s">
        <v>406</v>
      </c>
      <c r="F59" s="17" t="s">
        <v>927</v>
      </c>
      <c r="G59" s="5">
        <v>3</v>
      </c>
      <c r="H59" s="18"/>
    </row>
    <row r="60" spans="1:8" ht="15.95" customHeight="1">
      <c r="A60" s="5">
        <v>56</v>
      </c>
      <c r="B60" s="25" t="str">
        <f>HYPERLINK("https://cytokines2024.org/program/scientific.php","2024 - 12th Annual Meeting of the International Cytokine &amp; Interferon Society Jointly with Korean Association of Immunologists International Meeting")</f>
        <v>2024 - 12th Annual Meeting of the International Cytokine &amp; Interferon Society Jointly with Korean Association of Immunologists International Meeting</v>
      </c>
      <c r="C60" s="47" t="s">
        <v>14</v>
      </c>
      <c r="D60" s="18" t="s">
        <v>14</v>
      </c>
      <c r="E60" s="18" t="s">
        <v>922</v>
      </c>
      <c r="F60" s="17" t="s">
        <v>923</v>
      </c>
      <c r="G60" s="5">
        <v>3</v>
      </c>
      <c r="H60" s="18"/>
    </row>
    <row r="61" spans="1:8" ht="15.95" customHeight="1">
      <c r="A61" s="5">
        <v>57</v>
      </c>
      <c r="B61" s="17" t="str">
        <f>HYPERLINK("https://icgsk2024.kgenetics.or.kr/program_day01.asp","2024 - International Conference on Korean Society of Genetics and 1st Conference on Asian Genetics Consortium")</f>
        <v>2024 - International Conference on Korean Society of Genetics and 1st Conference on Asian Genetics Consortium</v>
      </c>
      <c r="C61" s="47" t="s">
        <v>14</v>
      </c>
      <c r="D61" s="18" t="s">
        <v>14</v>
      </c>
      <c r="E61" s="18" t="s">
        <v>1777</v>
      </c>
      <c r="F61" s="17" t="s">
        <v>1908</v>
      </c>
      <c r="G61" s="5" t="s">
        <v>2030</v>
      </c>
      <c r="H61" s="18"/>
    </row>
    <row r="62" spans="1:8" ht="15.95" customHeight="1">
      <c r="A62" s="5">
        <v>58</v>
      </c>
      <c r="B62" s="17" t="str">
        <f>HYPERLINK("http://icgsk2023.kgenetics.or.kr/program_day01.asp","2023 - International Conference on Korean Society of Genetics")</f>
        <v>2023 - International Conference on Korean Society of Genetics</v>
      </c>
      <c r="C62" s="47" t="s">
        <v>14</v>
      </c>
      <c r="D62" s="18" t="s">
        <v>14</v>
      </c>
      <c r="E62" s="18" t="s">
        <v>1777</v>
      </c>
      <c r="F62" s="17" t="s">
        <v>1909</v>
      </c>
      <c r="G62" s="5" t="s">
        <v>2030</v>
      </c>
      <c r="H62" s="18"/>
    </row>
    <row r="63" spans="1:8" ht="15.95" customHeight="1">
      <c r="A63" s="5">
        <v>59</v>
      </c>
      <c r="B63" s="17" t="str">
        <f>HYPERLINK("http://icgsk2022.kgenetics.or.kr/program_day01.asp","2022 - International Conference on Korean Society of Genetics")</f>
        <v>2022 - International Conference on Korean Society of Genetics</v>
      </c>
      <c r="C63" s="47" t="s">
        <v>14</v>
      </c>
      <c r="D63" s="18" t="s">
        <v>14</v>
      </c>
      <c r="E63" s="18" t="s">
        <v>1777</v>
      </c>
      <c r="F63" s="17" t="s">
        <v>1910</v>
      </c>
      <c r="G63" s="5" t="s">
        <v>2030</v>
      </c>
      <c r="H63" s="18"/>
    </row>
    <row r="64" spans="1:8" ht="15.95" customHeight="1">
      <c r="A64" s="5">
        <v>60</v>
      </c>
      <c r="B64" s="17" t="str">
        <f>HYPERLINK("http://icgsk2021.kgenetics.or.kr/program_day01.asp","2021 - International Conference on Korean Society of Genetics")</f>
        <v>2021 - International Conference on Korean Society of Genetics</v>
      </c>
      <c r="C64" s="47" t="s">
        <v>14</v>
      </c>
      <c r="D64" s="18" t="s">
        <v>14</v>
      </c>
      <c r="E64" s="18" t="s">
        <v>1777</v>
      </c>
      <c r="F64" s="17" t="s">
        <v>1911</v>
      </c>
      <c r="G64" s="5" t="s">
        <v>2030</v>
      </c>
      <c r="H64" s="18"/>
    </row>
    <row r="65" spans="1:8" ht="15.95" customHeight="1">
      <c r="A65" s="5">
        <v>61</v>
      </c>
      <c r="B65" s="17" t="str">
        <f>HYPERLINK("https://www.ibric.org/bric/bioschedule/bio-schedule-event.do?mode=view&amp;articleNo=9529817&amp;title=%5B2020+ICGSK-APCC7%5D+International+Conference+of+the+Genetics+Society+of+Korea+2020+%26+Asia-Pacific+Chromosome+Colloquium+7","2020 - International Conference on Korean Society of Genetics")</f>
        <v>2020 - International Conference on Korean Society of Genetics</v>
      </c>
      <c r="C65" s="47" t="s">
        <v>14</v>
      </c>
      <c r="D65" s="18" t="s">
        <v>14</v>
      </c>
      <c r="E65" s="18" t="s">
        <v>1777</v>
      </c>
      <c r="F65" s="17" t="s">
        <v>1912</v>
      </c>
      <c r="G65" s="5" t="s">
        <v>2030</v>
      </c>
      <c r="H65" s="18"/>
    </row>
    <row r="66" spans="1:8" ht="15.95" customHeight="1">
      <c r="A66" s="5">
        <v>62</v>
      </c>
      <c r="B66" s="17" t="str">
        <f>HYPERLINK("http://www.ksmg.or.kr/html/?pmode=acingview&amp;smode=view&amp;MMC_pid=17&amp;seq=114","2024 - 68th International Conference Fall Conference of the Korean Society of Medical Genetics")</f>
        <v>2024 - 68th International Conference Fall Conference of the Korean Society of Medical Genetics</v>
      </c>
      <c r="C66" s="47" t="s">
        <v>14</v>
      </c>
      <c r="D66" s="18" t="s">
        <v>14</v>
      </c>
      <c r="E66" s="18" t="s">
        <v>1846</v>
      </c>
      <c r="F66" s="17" t="s">
        <v>1985</v>
      </c>
      <c r="G66" s="5" t="s">
        <v>2030</v>
      </c>
      <c r="H66" s="18"/>
    </row>
    <row r="67" spans="1:8" ht="15.95" customHeight="1">
      <c r="A67" s="5">
        <v>63</v>
      </c>
      <c r="B67" s="17" t="str">
        <f>HYPERLINK("http://www.ksmg.or.kr/html/?pmode=acprevview&amp;smode=viewProgram&amp;MMC_pid=16&amp;seq=108","2023 - 66th International Conference Fall Conference of the Korean Society of Medical Genetics")</f>
        <v>2023 - 66th International Conference Fall Conference of the Korean Society of Medical Genetics</v>
      </c>
      <c r="C67" s="47" t="s">
        <v>14</v>
      </c>
      <c r="D67" s="18" t="s">
        <v>14</v>
      </c>
      <c r="E67" s="18" t="s">
        <v>1846</v>
      </c>
      <c r="F67" s="17" t="s">
        <v>1986</v>
      </c>
      <c r="G67" s="5" t="s">
        <v>2030</v>
      </c>
      <c r="H67" s="18"/>
    </row>
    <row r="68" spans="1:8" ht="15.95" customHeight="1">
      <c r="A68" s="5">
        <v>64</v>
      </c>
      <c r="B68" s="17" t="str">
        <f>HYPERLINK("http://www.ksmg.or.kr/html/?pmode=acprevview&amp;smode=viewProgram&amp;MMC_pid=16&amp;seq=102","2022 - 64th International Conference Fall Conference of the Korean Society of Medical Genetics")</f>
        <v>2022 - 64th International Conference Fall Conference of the Korean Society of Medical Genetics</v>
      </c>
      <c r="C68" s="47" t="s">
        <v>14</v>
      </c>
      <c r="D68" s="18" t="s">
        <v>14</v>
      </c>
      <c r="E68" s="18" t="s">
        <v>1846</v>
      </c>
      <c r="F68" s="17" t="s">
        <v>1987</v>
      </c>
      <c r="G68" s="5" t="s">
        <v>2030</v>
      </c>
      <c r="H68" s="18"/>
    </row>
    <row r="69" spans="1:8" ht="15.95" customHeight="1">
      <c r="A69" s="5">
        <v>65</v>
      </c>
      <c r="B69" s="17" t="str">
        <f>HYPERLINK("http://www.ksmg.or.kr/html/?pmode=acprevview&amp;smode=viewProgram&amp;MMC_pid=16&amp;seq=97","2021 - 62nd International Conference Fall Conference of the Korean Society of Medical Genetics")</f>
        <v>2021 - 62nd International Conference Fall Conference of the Korean Society of Medical Genetics</v>
      </c>
      <c r="C69" s="47" t="s">
        <v>14</v>
      </c>
      <c r="D69" s="18" t="s">
        <v>14</v>
      </c>
      <c r="E69" s="18" t="s">
        <v>1846</v>
      </c>
      <c r="F69" s="17" t="s">
        <v>1988</v>
      </c>
      <c r="G69" s="5" t="s">
        <v>2030</v>
      </c>
      <c r="H69" s="18"/>
    </row>
    <row r="70" spans="1:8" ht="15.95" customHeight="1">
      <c r="A70" s="5">
        <v>66</v>
      </c>
      <c r="B70" s="17" t="str">
        <f>HYPERLINK("http://www.ksmg.or.kr/html/?pmode=acprevview&amp;smode=viewProgram&amp;MMC_pid=16&amp;seq=91","2020 - 60th International Conference Fall Conference of the Korean Society of Medical Genetics")</f>
        <v>2020 - 60th International Conference Fall Conference of the Korean Society of Medical Genetics</v>
      </c>
      <c r="C70" s="47" t="s">
        <v>14</v>
      </c>
      <c r="D70" s="18" t="s">
        <v>14</v>
      </c>
      <c r="E70" s="18" t="s">
        <v>1846</v>
      </c>
      <c r="F70" s="17" t="s">
        <v>1989</v>
      </c>
      <c r="G70" s="5" t="s">
        <v>2030</v>
      </c>
      <c r="H70" s="18"/>
    </row>
    <row r="71" spans="1:8" ht="15.95" customHeight="1">
      <c r="A71" s="5">
        <v>67</v>
      </c>
      <c r="B71" s="17" t="str">
        <f>HYPERLINK("https://www.rarediseasesinternational.org/rdi-membership-meeting-2024-wodc-europe/","2024 - 10th Annual Meeting of the Rare Diseases International")</f>
        <v>2024 - 10th Annual Meeting of the Rare Diseases International</v>
      </c>
      <c r="C71" s="47" t="s">
        <v>14</v>
      </c>
      <c r="D71" s="18" t="s">
        <v>14</v>
      </c>
      <c r="E71" s="18" t="s">
        <v>315</v>
      </c>
      <c r="F71" s="17" t="s">
        <v>991</v>
      </c>
      <c r="G71" s="5" t="s">
        <v>2031</v>
      </c>
      <c r="H71" s="18"/>
    </row>
    <row r="72" spans="1:8" ht="15.95" customHeight="1">
      <c r="A72" s="5">
        <v>68</v>
      </c>
      <c r="B72" s="17" t="str">
        <f>HYPERLINK("https://www.rarediseasesinternational.org/annual-meeting/","2023 - 9th Annual Meeting of the Rare Diseases International")</f>
        <v>2023 - 9th Annual Meeting of the Rare Diseases International</v>
      </c>
      <c r="C72" s="47" t="s">
        <v>14</v>
      </c>
      <c r="D72" s="18" t="s">
        <v>14</v>
      </c>
      <c r="E72" s="18" t="s">
        <v>315</v>
      </c>
      <c r="F72" s="17" t="s">
        <v>992</v>
      </c>
      <c r="G72" s="5" t="s">
        <v>2031</v>
      </c>
      <c r="H72" s="18"/>
    </row>
    <row r="73" spans="1:8" ht="15.95" customHeight="1">
      <c r="A73" s="5">
        <v>69</v>
      </c>
      <c r="B73" s="17" t="str">
        <f>HYPERLINK("https://www.rarediseasesinternational.org/wp-content/uploads/2022/04/Membership-meeting-Agenda-2022-1.pdf","2022 - 8th Annual Meeting of the Rare Diseases International")</f>
        <v>2022 - 8th Annual Meeting of the Rare Diseases International</v>
      </c>
      <c r="C73" s="47" t="s">
        <v>14</v>
      </c>
      <c r="D73" s="18" t="s">
        <v>14</v>
      </c>
      <c r="E73" s="18" t="s">
        <v>315</v>
      </c>
      <c r="F73" s="17" t="s">
        <v>993</v>
      </c>
      <c r="G73" s="5" t="s">
        <v>2031</v>
      </c>
      <c r="H73" s="18"/>
    </row>
    <row r="74" spans="1:8" ht="15.95" customHeight="1">
      <c r="A74" s="5">
        <v>70</v>
      </c>
      <c r="B74" s="17" t="str">
        <f>HYPERLINK("https://www.rarediseasesinternational.org/wp-content/uploads/2021/05/RDI-Membership-Meeting-2021-1.pdf","2021 - 7th Annual Meeting of the Rare Diseases International")</f>
        <v>2021 - 7th Annual Meeting of the Rare Diseases International</v>
      </c>
      <c r="C74" s="47" t="s">
        <v>14</v>
      </c>
      <c r="D74" s="18" t="s">
        <v>14</v>
      </c>
      <c r="E74" s="18" t="s">
        <v>315</v>
      </c>
      <c r="F74" s="17" t="s">
        <v>994</v>
      </c>
      <c r="G74" s="5" t="s">
        <v>2031</v>
      </c>
      <c r="H74" s="18"/>
    </row>
    <row r="75" spans="1:8" ht="15.95" customHeight="1">
      <c r="A75" s="5">
        <v>71</v>
      </c>
      <c r="B75" s="17" t="str">
        <f>HYPERLINK("https://www.rarediseasesinternational.org/wp-content/uploads/2020/05/1.-Agenda-Final-on-website.pdf","2020 - 6th Annual Meeting of the Rare Diseases International")</f>
        <v>2020 - 6th Annual Meeting of the Rare Diseases International</v>
      </c>
      <c r="C75" s="47" t="s">
        <v>14</v>
      </c>
      <c r="D75" s="18" t="s">
        <v>14</v>
      </c>
      <c r="E75" s="18" t="s">
        <v>315</v>
      </c>
      <c r="F75" s="17" t="s">
        <v>995</v>
      </c>
      <c r="G75" s="5" t="s">
        <v>2031</v>
      </c>
      <c r="H75" s="18"/>
    </row>
    <row r="76" spans="1:8" ht="15.95" customHeight="1">
      <c r="A76" s="5">
        <v>72</v>
      </c>
      <c r="B76" s="17" t="str">
        <f>HYPERLINK("https://darhawaraa.com/%D8%AF%D9%84%D9%8A%D9%84-%D9%88%D8%B2%D8%A7%D8%B1%D8%A9-%D8%A7%D9%84%D8%B5%D8%AD%D8%A9-%D9%84%D8%B4%D9%87%D8%B1-%D8%A3%D8%A8%D8%B1%D9%8A%D9%84-%D9%84%D8%B9%D8%A7%D9%85-2024%D9%85/","2024 - 3rd International Conference of the Saudi Society of Allergy, Asthma and Immunology")</f>
        <v>2024 - 3rd International Conference of the Saudi Society of Allergy, Asthma and Immunology</v>
      </c>
      <c r="C76" s="47" t="s">
        <v>14</v>
      </c>
      <c r="D76" s="18" t="s">
        <v>14</v>
      </c>
      <c r="E76" s="18" t="s">
        <v>452</v>
      </c>
      <c r="F76" s="17" t="s">
        <v>977</v>
      </c>
      <c r="G76" s="5">
        <v>3</v>
      </c>
      <c r="H76" s="18"/>
    </row>
    <row r="77" spans="1:8" ht="15.95" customHeight="1">
      <c r="A77" s="5">
        <v>73</v>
      </c>
      <c r="B77" s="17" t="str">
        <f>HYPERLINK("https://saais.org.sa/ar/news/0/2","2022 - 2nd International Conference of the Saudi Society of Allergy, Asthma and Immunology")</f>
        <v>2022 - 2nd International Conference of the Saudi Society of Allergy, Asthma and Immunology</v>
      </c>
      <c r="C77" s="47" t="s">
        <v>14</v>
      </c>
      <c r="D77" s="18" t="s">
        <v>14</v>
      </c>
      <c r="E77" s="18" t="s">
        <v>452</v>
      </c>
      <c r="F77" s="17" t="s">
        <v>978</v>
      </c>
      <c r="G77" s="5">
        <v>3</v>
      </c>
      <c r="H77" s="18"/>
    </row>
    <row r="78" spans="1:8" ht="15.95" customHeight="1">
      <c r="A78" s="5">
        <v>74</v>
      </c>
      <c r="B78" s="17" t="str">
        <f>HYPERLINK("https://www.congresoseaic.org/static/upload/ow81/events/ev578/Site/files/Programa_final_SEAIC24-0309.pdf","2024 - International Symposium on Spanish Society of Allergology and Clinical Immunology")</f>
        <v>2024 - International Symposium on Spanish Society of Allergology and Clinical Immunology</v>
      </c>
      <c r="C78" s="47" t="s">
        <v>14</v>
      </c>
      <c r="D78" s="18" t="s">
        <v>14</v>
      </c>
      <c r="E78" s="18" t="s">
        <v>456</v>
      </c>
      <c r="F78" s="17" t="s">
        <v>1117</v>
      </c>
      <c r="G78" s="5">
        <v>3</v>
      </c>
      <c r="H78" s="18"/>
    </row>
    <row r="79" spans="1:8" ht="15.95" customHeight="1">
      <c r="A79" s="5">
        <v>75</v>
      </c>
      <c r="B79" s="17" t="str">
        <f>HYPERLINK("https://www.congresoseaic.org/static/upload/ow81/events/ev444/Site/files/PROGRAMA_SEAIC2022.pdf","2022 - International Symposium on Spanish Society of Allergology and Clinical Immunology")</f>
        <v>2022 - International Symposium on Spanish Society of Allergology and Clinical Immunology</v>
      </c>
      <c r="C79" s="47" t="s">
        <v>14</v>
      </c>
      <c r="D79" s="18" t="s">
        <v>14</v>
      </c>
      <c r="E79" s="18" t="s">
        <v>456</v>
      </c>
      <c r="F79" s="17" t="s">
        <v>1118</v>
      </c>
      <c r="G79" s="5">
        <v>3</v>
      </c>
      <c r="H79" s="18"/>
    </row>
    <row r="80" spans="1:8" ht="15.95" customHeight="1">
      <c r="A80" s="5">
        <v>76</v>
      </c>
      <c r="B80" s="17" t="str">
        <f>HYPERLINK("https://www.wirm.ch/wp-content/uploads/2024/03/1FinalProgram2024druckoAbstracts.pdf","2024 - XVIII World Immune Regulation Meeting")</f>
        <v>2024 - XVIII World Immune Regulation Meeting</v>
      </c>
      <c r="C80" s="47" t="s">
        <v>14</v>
      </c>
      <c r="D80" s="18" t="s">
        <v>14</v>
      </c>
      <c r="E80" s="18" t="s">
        <v>1178</v>
      </c>
      <c r="F80" s="17" t="s">
        <v>1179</v>
      </c>
      <c r="G80" s="5">
        <v>3</v>
      </c>
      <c r="H80" s="18"/>
    </row>
    <row r="81" spans="1:8" ht="15.95" customHeight="1">
      <c r="A81" s="5">
        <v>77</v>
      </c>
      <c r="B81" s="17" t="str">
        <f>HYPERLINK("https://www.wirm.ch/wp-content/uploads/2023/07/FinalProgram2023oAbstractsWeblow.pdf","2023 - XVII World Immune Regulation Meeting")</f>
        <v>2023 - XVII World Immune Regulation Meeting</v>
      </c>
      <c r="C81" s="47" t="s">
        <v>14</v>
      </c>
      <c r="D81" s="18" t="s">
        <v>14</v>
      </c>
      <c r="E81" s="18" t="s">
        <v>1178</v>
      </c>
      <c r="F81" s="17" t="s">
        <v>1180</v>
      </c>
      <c r="G81" s="5">
        <v>3</v>
      </c>
      <c r="H81" s="18"/>
    </row>
    <row r="82" spans="1:8" ht="15.95" customHeight="1">
      <c r="A82" s="5">
        <v>78</v>
      </c>
      <c r="B82" s="17" t="str">
        <f>HYPERLINK("https://www.wirm.ch/wp-content/uploads/2024/08/FinalProgram2022oAbstractsWeblow.pdf","2022 - XVI World Immune Regulation Meeting")</f>
        <v>2022 - XVI World Immune Regulation Meeting</v>
      </c>
      <c r="C82" s="47" t="s">
        <v>14</v>
      </c>
      <c r="D82" s="18" t="s">
        <v>14</v>
      </c>
      <c r="E82" s="18" t="s">
        <v>1178</v>
      </c>
      <c r="F82" s="17" t="s">
        <v>1181</v>
      </c>
      <c r="G82" s="5">
        <v>3</v>
      </c>
      <c r="H82" s="18"/>
    </row>
    <row r="83" spans="1:8" ht="15.95" customHeight="1">
      <c r="A83" s="5">
        <v>79</v>
      </c>
      <c r="B83" s="17" t="str">
        <f>HYPERLINK("https://www.wirm.ch/wp-content/uploads/2024/08/FinalProgram2021oAbstracts_Weblow.pdf","2021 - XV World Immune Regulation Meeting")</f>
        <v>2021 - XV World Immune Regulation Meeting</v>
      </c>
      <c r="C83" s="47" t="s">
        <v>14</v>
      </c>
      <c r="D83" s="18" t="s">
        <v>14</v>
      </c>
      <c r="E83" s="18" t="s">
        <v>1178</v>
      </c>
      <c r="F83" s="17" t="s">
        <v>1182</v>
      </c>
      <c r="G83" s="5">
        <v>3</v>
      </c>
      <c r="H83" s="18"/>
    </row>
    <row r="84" spans="1:8" ht="15.95" customHeight="1">
      <c r="A84" s="5">
        <v>80</v>
      </c>
      <c r="B84" s="17" t="str">
        <f>HYPERLINK("https://www.wirm.ch/wp-content/uploads/2024/08/FinalProgram2020oAbstracts_digitalWIRM_Weblow.pdf","2020 - XIV World Immune Regulation Meeting")</f>
        <v>2020 - XIV World Immune Regulation Meeting</v>
      </c>
      <c r="C84" s="47" t="s">
        <v>14</v>
      </c>
      <c r="D84" s="18" t="s">
        <v>14</v>
      </c>
      <c r="E84" s="18" t="s">
        <v>1178</v>
      </c>
      <c r="F84" s="17" t="s">
        <v>1183</v>
      </c>
      <c r="G84" s="5">
        <v>3</v>
      </c>
      <c r="H84" s="18"/>
    </row>
    <row r="85" spans="1:8" ht="15.95" customHeight="1">
      <c r="A85" s="5">
        <v>81</v>
      </c>
      <c r="B85" s="17" t="str">
        <f>HYPERLINK("https://www.terrapinn.com/conference/world-orphan-drug-congress/agenda.stm","2024 - 15th Congress World Orphan Drug")</f>
        <v>2024 - 15th Congress World Orphan Drug</v>
      </c>
      <c r="C85" s="47" t="s">
        <v>14</v>
      </c>
      <c r="D85" s="18" t="s">
        <v>14</v>
      </c>
      <c r="E85" s="18" t="s">
        <v>996</v>
      </c>
      <c r="F85" s="17" t="s">
        <v>997</v>
      </c>
      <c r="G85" s="5" t="s">
        <v>2031</v>
      </c>
      <c r="H85" s="18"/>
    </row>
    <row r="86" spans="1:8" ht="15.95" customHeight="1">
      <c r="A86" s="5">
        <v>82</v>
      </c>
      <c r="B86" s="17" t="str">
        <f>HYPERLINK("https://www.terrapinn.com/template/live/go/10848/22783","2023 - 14th Congress World Orphan Drug")</f>
        <v>2023 - 14th Congress World Orphan Drug</v>
      </c>
      <c r="C86" s="47" t="s">
        <v>14</v>
      </c>
      <c r="D86" s="18" t="s">
        <v>14</v>
      </c>
      <c r="E86" s="18" t="s">
        <v>996</v>
      </c>
      <c r="F86" s="17" t="s">
        <v>998</v>
      </c>
      <c r="G86" s="5" t="s">
        <v>2031</v>
      </c>
      <c r="H86" s="18"/>
    </row>
    <row r="87" spans="1:8" ht="15.95" customHeight="1">
      <c r="A87" s="5">
        <v>83</v>
      </c>
      <c r="B87" s="17" t="str">
        <f>HYPERLINK("https://alliancerm.org/event/world-orphan-drug-congress-2022/","2022 - 13th Congress World Orphan Drug")</f>
        <v>2022 - 13th Congress World Orphan Drug</v>
      </c>
      <c r="C87" s="47" t="s">
        <v>14</v>
      </c>
      <c r="D87" s="18" t="s">
        <v>14</v>
      </c>
      <c r="E87" s="18" t="s">
        <v>996</v>
      </c>
      <c r="F87" s="17" t="s">
        <v>999</v>
      </c>
      <c r="G87" s="5" t="s">
        <v>2031</v>
      </c>
      <c r="H87" s="18"/>
    </row>
    <row r="88" spans="1:8" ht="15.95" customHeight="1">
      <c r="A88" s="5">
        <v>84</v>
      </c>
      <c r="B88" s="17" t="str">
        <f>HYPERLINK("https://www.eversana.com/2021/11/02/world-orphan-drug-congress-europe-2021/","2021 - 12th Congress World Orphan Drug")</f>
        <v>2021 - 12th Congress World Orphan Drug</v>
      </c>
      <c r="C88" s="47" t="s">
        <v>14</v>
      </c>
      <c r="D88" s="18" t="s">
        <v>14</v>
      </c>
      <c r="E88" s="18" t="s">
        <v>996</v>
      </c>
      <c r="F88" s="17" t="s">
        <v>1000</v>
      </c>
      <c r="G88" s="5" t="s">
        <v>2031</v>
      </c>
      <c r="H88" s="18"/>
    </row>
    <row r="89" spans="1:8" ht="15.95" customHeight="1">
      <c r="A89" s="5">
        <v>85</v>
      </c>
      <c r="B89" s="17" t="str">
        <f>HYPERLINK("https://www.syneoshealth.com/events/world-orphan-drug-congress-eu-2020","2020 - 11th Congress World Orphan Drug")</f>
        <v>2020 - 11th Congress World Orphan Drug</v>
      </c>
      <c r="C89" s="47" t="s">
        <v>14</v>
      </c>
      <c r="D89" s="18" t="s">
        <v>14</v>
      </c>
      <c r="E89" s="18" t="s">
        <v>996</v>
      </c>
      <c r="F89" s="17" t="s">
        <v>1001</v>
      </c>
      <c r="G89" s="5" t="s">
        <v>2031</v>
      </c>
      <c r="H89" s="18"/>
    </row>
    <row r="90" spans="1:8" ht="15.95" customHeight="1">
      <c r="A90" s="5">
        <v>86</v>
      </c>
      <c r="B90" s="17" t="str">
        <f>HYPERLINK("https://www.wac2023bangkok.com/program/fullprogram","2023 - Annual Congress on World Allergy Organization")</f>
        <v>2023 - Annual Congress on World Allergy Organization</v>
      </c>
      <c r="C90" s="47" t="s">
        <v>14</v>
      </c>
      <c r="D90" s="18" t="s">
        <v>14</v>
      </c>
      <c r="E90" s="18" t="s">
        <v>477</v>
      </c>
      <c r="F90" s="17" t="s">
        <v>1156</v>
      </c>
      <c r="G90" s="5">
        <v>3</v>
      </c>
      <c r="H90" s="18"/>
    </row>
    <row r="91" spans="1:8" ht="15.95" customHeight="1">
      <c r="A91" s="5">
        <v>87</v>
      </c>
      <c r="B91" s="17" t="str">
        <f>HYPERLINK("https://aai.org.tr/uploads/pdf_446.pdf","2022 - Annual Congress on World Allergy Organization")</f>
        <v>2022 - Annual Congress on World Allergy Organization</v>
      </c>
      <c r="C91" s="47" t="s">
        <v>14</v>
      </c>
      <c r="D91" s="18" t="s">
        <v>14</v>
      </c>
      <c r="E91" s="18" t="s">
        <v>477</v>
      </c>
      <c r="F91" s="17" t="s">
        <v>1157</v>
      </c>
      <c r="G91" s="5">
        <v>3</v>
      </c>
      <c r="H91" s="18"/>
    </row>
    <row r="92" spans="1:8" ht="15.95" customHeight="1">
      <c r="A92" s="5">
        <v>88</v>
      </c>
      <c r="B92" s="17" t="str">
        <f>HYPERLINK("https://www.c-linkage.co.jp/jsawac2020/program.html","2020 - Annual Congress on World Allergy Organization and 69th Annual Scientific Meeting of the Japanese Society of Allergology")</f>
        <v>2020 - Annual Congress on World Allergy Organization and 69th Annual Scientific Meeting of the Japanese Society of Allergology</v>
      </c>
      <c r="C92" s="47" t="s">
        <v>14</v>
      </c>
      <c r="D92" s="18" t="s">
        <v>14</v>
      </c>
      <c r="E92" s="18" t="s">
        <v>1158</v>
      </c>
      <c r="F92" s="17" t="s">
        <v>1159</v>
      </c>
      <c r="G92" s="5">
        <v>3</v>
      </c>
      <c r="H92" s="18"/>
    </row>
    <row r="93" spans="1:8" ht="15.95" customHeight="1">
      <c r="A93" s="5">
        <v>89</v>
      </c>
      <c r="B93" s="17" t="str">
        <f>HYPERLINK("https://wac.worldallergy.net/media/WAC-2024-Program-Overview.pdf","2024 - Annual Congress on World Allergy Organization")</f>
        <v>2024 - Annual Congress on World Allergy Organization</v>
      </c>
      <c r="C93" s="47" t="s">
        <v>14</v>
      </c>
      <c r="D93" s="18" t="s">
        <v>14</v>
      </c>
      <c r="E93" s="18" t="s">
        <v>1154</v>
      </c>
      <c r="F93" s="17" t="s">
        <v>1155</v>
      </c>
      <c r="G93" s="5">
        <v>3</v>
      </c>
      <c r="H93" s="18"/>
    </row>
    <row r="94" spans="1:8" ht="15.95" customHeight="1">
      <c r="A94" s="5">
        <v>90</v>
      </c>
      <c r="B94" s="17" t="str">
        <f>HYPERLINK("https://waididcongress.org/wordpress/wp-content/uploads/V7-PROGRAMMA-PRELIMINARE-Relatori_compressed-2.pdf","2024 - 5th Congress World Association for Infectious Diseases and Immunological Disorders")</f>
        <v>2024 - 5th Congress World Association for Infectious Diseases and Immunological Disorders</v>
      </c>
      <c r="C94" s="47" t="s">
        <v>14</v>
      </c>
      <c r="D94" s="18" t="s">
        <v>14</v>
      </c>
      <c r="E94" s="18" t="s">
        <v>370</v>
      </c>
      <c r="F94" s="17" t="s">
        <v>1088</v>
      </c>
      <c r="G94" s="5">
        <v>3</v>
      </c>
      <c r="H94" s="18"/>
    </row>
    <row r="95" spans="1:8" ht="15.95" customHeight="1">
      <c r="A95" s="5">
        <v>91</v>
      </c>
      <c r="B95" s="17" t="str">
        <f>HYPERLINK("https://www.ekmud.org.tr/etkinlik/251-4th-waidid-congress","2022 - 4th Congress World Association for Infectious Diseases and Immunological Disorders")</f>
        <v>2022 - 4th Congress World Association for Infectious Diseases and Immunological Disorders</v>
      </c>
      <c r="C95" s="47" t="s">
        <v>14</v>
      </c>
      <c r="D95" s="18" t="s">
        <v>14</v>
      </c>
      <c r="E95" s="18" t="s">
        <v>370</v>
      </c>
      <c r="F95" s="17" t="s">
        <v>1089</v>
      </c>
      <c r="G95" s="5">
        <v>3</v>
      </c>
      <c r="H95" s="18"/>
    </row>
    <row r="96" spans="1:8" ht="15.95" customHeight="1">
      <c r="A96" s="5">
        <v>92</v>
      </c>
      <c r="B96" s="17" t="str">
        <f>HYPERLINK("https://www.waidid.org/uploads/media/PROGRAMMA_FINAL%20FINAL_compressed.pdf","2020 - 3rd Congress World Association for Infectious Diseases and Immunological Disorders")</f>
        <v>2020 - 3rd Congress World Association for Infectious Diseases and Immunological Disorders</v>
      </c>
      <c r="C96" s="47" t="s">
        <v>14</v>
      </c>
      <c r="D96" s="18" t="s">
        <v>14</v>
      </c>
      <c r="E96" s="18" t="s">
        <v>370</v>
      </c>
      <c r="F96" s="17" t="s">
        <v>1090</v>
      </c>
      <c r="G96" s="5">
        <v>3</v>
      </c>
      <c r="H96" s="18"/>
    </row>
    <row r="97" spans="1:8" ht="15.95" customHeight="1">
      <c r="A97" s="5">
        <v>93</v>
      </c>
      <c r="B97" s="17" t="str">
        <f>HYPERLINK("https://rare2023.com/program-timetable/","2023 - 5th International Conference on Rare Diseases")</f>
        <v>2023 - 5th International Conference on Rare Diseases</v>
      </c>
      <c r="C97" s="47" t="s">
        <v>14</v>
      </c>
      <c r="D97" s="18" t="s">
        <v>14</v>
      </c>
      <c r="E97" s="18"/>
      <c r="F97" s="17" t="s">
        <v>1014</v>
      </c>
      <c r="G97" s="5" t="s">
        <v>2031</v>
      </c>
      <c r="H97" s="18"/>
    </row>
    <row r="98" spans="1:8" ht="15.95" customHeight="1">
      <c r="A98" s="5">
        <v>94</v>
      </c>
      <c r="B98" s="17" t="str">
        <f>HYPERLINK("https://rare-2022.com/congress-program/","2022 - 4th International Conference on Rare Diseases")</f>
        <v>2022 - 4th International Conference on Rare Diseases</v>
      </c>
      <c r="C98" s="47" t="s">
        <v>14</v>
      </c>
      <c r="D98" s="18" t="s">
        <v>14</v>
      </c>
      <c r="E98" s="18"/>
      <c r="F98" s="17" t="s">
        <v>1013</v>
      </c>
      <c r="G98" s="5" t="s">
        <v>2031</v>
      </c>
      <c r="H98" s="18"/>
    </row>
    <row r="99" spans="1:8" ht="15.95" customHeight="1">
      <c r="A99" s="5">
        <v>95</v>
      </c>
      <c r="B99" s="17" t="str">
        <f>HYPERLINK("https://ipopi.org/asia2024/","2024 - 5th Regional Asian PID Meeting of International Patient Organization for Primary Immunodeficiencies (IPOPI)")</f>
        <v>2024 - 5th Regional Asian PID Meeting of International Patient Organization for Primary Immunodeficiencies (IPOPI)</v>
      </c>
      <c r="C99" s="47" t="s">
        <v>114</v>
      </c>
      <c r="D99" s="18" t="s">
        <v>160</v>
      </c>
      <c r="E99" s="18" t="s">
        <v>271</v>
      </c>
      <c r="F99" s="17" t="s">
        <v>1058</v>
      </c>
      <c r="G99" s="5">
        <v>1</v>
      </c>
      <c r="H99" s="18"/>
    </row>
    <row r="100" spans="1:8" ht="15.95" customHeight="1">
      <c r="A100" s="5">
        <v>96</v>
      </c>
      <c r="B100" s="17" t="str">
        <f>HYPERLINK("https://ipopi.org/wp-content/uploads/2023/01/Regional-Asian-PID-Meeting-External-Programme-FINAL.pdf","2022 - 4th Regional Asian PID Meeting of International Patient Organization for Primary Immunodeficiencies (IPOPI)")</f>
        <v>2022 - 4th Regional Asian PID Meeting of International Patient Organization for Primary Immunodeficiencies (IPOPI)</v>
      </c>
      <c r="C100" s="47" t="s">
        <v>114</v>
      </c>
      <c r="D100" s="18" t="s">
        <v>160</v>
      </c>
      <c r="E100" s="18" t="s">
        <v>271</v>
      </c>
      <c r="F100" s="17" t="s">
        <v>1059</v>
      </c>
      <c r="G100" s="5">
        <v>1</v>
      </c>
      <c r="H100" s="18"/>
    </row>
    <row r="101" spans="1:8" ht="15.95" customHeight="1">
      <c r="A101" s="5">
        <v>97</v>
      </c>
      <c r="B101" s="17" t="str">
        <f>HYPERLINK("https://ipopi.org/ipopi-3rd-regional-asian-pid-meeting/","2020 - 3rd Regional Asian PID Meeting of International Patient Organization for Primary Immunodeficiencies (IPOPI)")</f>
        <v>2020 - 3rd Regional Asian PID Meeting of International Patient Organization for Primary Immunodeficiencies (IPOPI)</v>
      </c>
      <c r="C101" s="47" t="s">
        <v>114</v>
      </c>
      <c r="D101" s="18" t="s">
        <v>160</v>
      </c>
      <c r="E101" s="18" t="s">
        <v>271</v>
      </c>
      <c r="F101" s="17" t="s">
        <v>1060</v>
      </c>
      <c r="G101" s="5">
        <v>1</v>
      </c>
      <c r="H101" s="18"/>
    </row>
    <row r="102" spans="1:8" ht="15.95" customHeight="1">
      <c r="A102" s="5">
        <v>98</v>
      </c>
      <c r="B102" s="17" t="str">
        <f>HYPERLINK("https://www.apardo.org/_files/ugd/0a4f38_37a8103eec2d4bb498274eddb22f4ef5.pdf","2024 - Conference of the Asia Pacific Alliance for Rare Disease Organisations")</f>
        <v>2024 - Conference of the Asia Pacific Alliance for Rare Disease Organisations</v>
      </c>
      <c r="C102" s="47" t="s">
        <v>114</v>
      </c>
      <c r="D102" s="18" t="s">
        <v>380</v>
      </c>
      <c r="E102" s="18" t="s">
        <v>307</v>
      </c>
      <c r="F102" s="17" t="s">
        <v>983</v>
      </c>
      <c r="G102" s="5" t="s">
        <v>2031</v>
      </c>
      <c r="H102" s="18"/>
    </row>
    <row r="103" spans="1:8" ht="15.95" customHeight="1">
      <c r="A103" s="5">
        <v>99</v>
      </c>
      <c r="B103" s="17" t="str">
        <f>HYPERLINK("https://www.apardo.org/_files/ugd/0a4f38_1bd08534163f4ba29a01f760fcbc9da8.pdf","2023 - Conference of the Asia Pacific Alliance for Rare Disease Organisations")</f>
        <v>2023 - Conference of the Asia Pacific Alliance for Rare Disease Organisations</v>
      </c>
      <c r="C103" s="47" t="s">
        <v>114</v>
      </c>
      <c r="D103" s="18" t="s">
        <v>380</v>
      </c>
      <c r="E103" s="18" t="s">
        <v>307</v>
      </c>
      <c r="F103" s="17" t="s">
        <v>984</v>
      </c>
      <c r="G103" s="5" t="s">
        <v>2031</v>
      </c>
      <c r="H103" s="18"/>
    </row>
    <row r="104" spans="1:8" ht="15.95" customHeight="1">
      <c r="A104" s="5">
        <v>100</v>
      </c>
      <c r="B104" s="17" t="str">
        <f>HYPERLINK("https://www.apardo.org/_files/ugd/0a4f38_347bbee85638424a8ad9c535186ba35c.pdf","2022 - Conference of the Asia Pacific Alliance for Rare Disease Organisations")</f>
        <v>2022 - Conference of the Asia Pacific Alliance for Rare Disease Organisations</v>
      </c>
      <c r="C104" s="47" t="s">
        <v>114</v>
      </c>
      <c r="D104" s="18" t="s">
        <v>380</v>
      </c>
      <c r="E104" s="18" t="s">
        <v>307</v>
      </c>
      <c r="F104" s="17" t="s">
        <v>985</v>
      </c>
      <c r="G104" s="5" t="s">
        <v>2031</v>
      </c>
      <c r="H104" s="18"/>
    </row>
    <row r="105" spans="1:8" ht="15.95" customHeight="1">
      <c r="A105" s="5">
        <v>101</v>
      </c>
      <c r="B105" s="17" t="str">
        <f>HYPERLINK("https://www.apardo.org/_files/ugd/0a4f38_d0dece7efd1040d8998888c4aa78760c.pdf","2021 - Conference of the Asia Pacific Alliance for Rare Disease Organisations")</f>
        <v>2021 - Conference of the Asia Pacific Alliance for Rare Disease Organisations</v>
      </c>
      <c r="C105" s="47" t="s">
        <v>114</v>
      </c>
      <c r="D105" s="18" t="s">
        <v>380</v>
      </c>
      <c r="E105" s="18" t="s">
        <v>307</v>
      </c>
      <c r="F105" s="17" t="s">
        <v>986</v>
      </c>
      <c r="G105" s="5" t="s">
        <v>2031</v>
      </c>
      <c r="H105" s="18"/>
    </row>
    <row r="106" spans="1:8" ht="15.95" customHeight="1">
      <c r="A106" s="5">
        <v>102</v>
      </c>
      <c r="B106" s="17" t="str">
        <f>HYPERLINK("https://www.rarediseasesinternational.org/wp-content/uploads/2020/11/Apardo-agenda-V1-1.pdf","2020 - Conference of the Asia Pacific Alliance for Rare Disease Organisations")</f>
        <v>2020 - Conference of the Asia Pacific Alliance for Rare Disease Organisations</v>
      </c>
      <c r="C106" s="47" t="s">
        <v>114</v>
      </c>
      <c r="D106" s="18" t="s">
        <v>380</v>
      </c>
      <c r="E106" s="18" t="s">
        <v>307</v>
      </c>
      <c r="F106" s="17" t="s">
        <v>987</v>
      </c>
      <c r="G106" s="5" t="s">
        <v>2031</v>
      </c>
      <c r="H106" s="18"/>
    </row>
    <row r="107" spans="1:8" ht="15.95" customHeight="1">
      <c r="A107" s="5">
        <v>103</v>
      </c>
      <c r="B107" s="17" t="str">
        <f>HYPERLINK("https://apsid2023.com/front/page/APSID_program%20book_v14_20Apr2023_online.pdf","2023 - Inaugural Advanced Asia Pacific Society for Immunodeficiencies IEI School")</f>
        <v>2023 - Inaugural Advanced Asia Pacific Society for Immunodeficiencies IEI School</v>
      </c>
      <c r="C107" s="47" t="s">
        <v>114</v>
      </c>
      <c r="D107" s="18" t="s">
        <v>380</v>
      </c>
      <c r="E107" s="18" t="s">
        <v>379</v>
      </c>
      <c r="F107" s="17" t="s">
        <v>1082</v>
      </c>
      <c r="G107" s="5">
        <v>2</v>
      </c>
      <c r="H107" s="18"/>
    </row>
    <row r="108" spans="1:8" ht="15.95" customHeight="1">
      <c r="A108" s="5">
        <v>104</v>
      </c>
      <c r="B108" s="17" t="str">
        <f>HYPERLINK("https://www.ispid.org.in/downloads/APSID%20Congress%20brochure.pdf","2020 - 3rd Scientific Congress of the Asia Pacific Society for Immunodeficiencies")</f>
        <v>2020 - 3rd Scientific Congress of the Asia Pacific Society for Immunodeficiencies</v>
      </c>
      <c r="C108" s="47" t="s">
        <v>114</v>
      </c>
      <c r="D108" s="18" t="s">
        <v>380</v>
      </c>
      <c r="E108" s="18" t="s">
        <v>379</v>
      </c>
      <c r="F108" s="17" t="s">
        <v>1081</v>
      </c>
      <c r="G108" s="5">
        <v>2</v>
      </c>
      <c r="H108" s="18"/>
    </row>
    <row r="109" spans="1:8" ht="15.95" customHeight="1">
      <c r="A109" s="5">
        <v>105</v>
      </c>
      <c r="B109" s="17" t="str">
        <f>HYPERLINK("https://jsiad.org/wp-content/uploads/2024/03/APSID-JSIAD2024-Program-20240322.pdf","2024 - 5th Scientific Congress of the Asia Pacific Society for Immunodeficiencies and 7th Annual Scientific Meeting of the Japanese Society of Immunodeficiency and Autoinflammation")</f>
        <v>2024 - 5th Scientific Congress of the Asia Pacific Society for Immunodeficiencies and 7th Annual Scientific Meeting of the Japanese Society of Immunodeficiency and Autoinflammation</v>
      </c>
      <c r="C109" s="47" t="s">
        <v>114</v>
      </c>
      <c r="D109" s="18" t="s">
        <v>380</v>
      </c>
      <c r="E109" s="18" t="s">
        <v>1077</v>
      </c>
      <c r="F109" s="17" t="s">
        <v>1078</v>
      </c>
      <c r="G109" s="5">
        <v>2</v>
      </c>
      <c r="H109" s="18"/>
    </row>
    <row r="110" spans="1:8" ht="15.95" customHeight="1">
      <c r="A110" s="5">
        <v>106</v>
      </c>
      <c r="B110" s="17" t="str">
        <f>HYPERLINK("https://msaiapsid2022.allergymsai.org/scientific-program/","2022 - 4th Scientific Congress of the Asia Pacific Society for Immunodeficiencies and 21st Annual Meeting of the Malaysian Society of Allergy and Immunology")</f>
        <v>2022 - 4th Scientific Congress of the Asia Pacific Society for Immunodeficiencies and 21st Annual Meeting of the Malaysian Society of Allergy and Immunology</v>
      </c>
      <c r="C110" s="47" t="s">
        <v>114</v>
      </c>
      <c r="D110" s="18" t="s">
        <v>380</v>
      </c>
      <c r="E110" s="18" t="s">
        <v>1079</v>
      </c>
      <c r="F110" s="17" t="s">
        <v>1080</v>
      </c>
      <c r="G110" s="5">
        <v>2</v>
      </c>
      <c r="H110" s="18"/>
    </row>
    <row r="111" spans="1:8" ht="15.95" customHeight="1">
      <c r="A111" s="5">
        <v>107</v>
      </c>
      <c r="B111" s="17" t="str">
        <f>HYPERLINK("https://aphia2023.org/","2023 - Annual Scientific Meeting of the Asia-Pacific Histocompatibility and Immunogenetics Association")</f>
        <v>2023 - Annual Scientific Meeting of the Asia-Pacific Histocompatibility and Immunogenetics Association</v>
      </c>
      <c r="C111" s="47" t="s">
        <v>114</v>
      </c>
      <c r="D111" s="18" t="s">
        <v>380</v>
      </c>
      <c r="E111" s="18" t="s">
        <v>424</v>
      </c>
      <c r="F111" s="17" t="s">
        <v>979</v>
      </c>
      <c r="G111" s="5">
        <v>3</v>
      </c>
      <c r="H111" s="18"/>
    </row>
    <row r="112" spans="1:8" ht="15.95" customHeight="1">
      <c r="A112" s="5">
        <v>108</v>
      </c>
      <c r="B112" s="17" t="str">
        <f>HYPERLINK("https://static1.squarespace.com/static/5ed7478b1164f903067be731/t/618db0eea2a6b36c7ab53e12/1636675870666/ISHI+APHIA+CON+2021+Scientific+Program.pdf","2021 - Annual Scientific Meeting of the Asia-Pacific Histocompatibility and Immunogenetics Association")</f>
        <v>2021 - Annual Scientific Meeting of the Asia-Pacific Histocompatibility and Immunogenetics Association</v>
      </c>
      <c r="C112" s="47" t="s">
        <v>114</v>
      </c>
      <c r="D112" s="18" t="s">
        <v>380</v>
      </c>
      <c r="E112" s="18" t="s">
        <v>980</v>
      </c>
      <c r="F112" s="17" t="s">
        <v>981</v>
      </c>
      <c r="G112" s="5">
        <v>3</v>
      </c>
      <c r="H112" s="18"/>
    </row>
    <row r="113" spans="1:8" ht="15.95" customHeight="1">
      <c r="A113" s="5">
        <v>109</v>
      </c>
      <c r="B113" s="17" t="str">
        <f>HYPERLINK("https://eaaci.org/agenda/eaaci-congress-2024/","2024 - Annual Congress of European Academy of Allergy and Clinical Immunology")</f>
        <v>2024 - Annual Congress of European Academy of Allergy and Clinical Immunology</v>
      </c>
      <c r="C113" s="47" t="s">
        <v>114</v>
      </c>
      <c r="D113" s="18" t="s">
        <v>115</v>
      </c>
      <c r="E113" s="18" t="s">
        <v>473</v>
      </c>
      <c r="F113" s="17" t="s">
        <v>944</v>
      </c>
      <c r="G113" s="5">
        <v>3</v>
      </c>
      <c r="H113" s="18"/>
    </row>
    <row r="114" spans="1:8" ht="15.95" customHeight="1">
      <c r="A114" s="5">
        <v>110</v>
      </c>
      <c r="B114" s="17" t="str">
        <f>HYPERLINK("https://eaaci2023.process.y-congress.com/ScientificProcess/Data/67/386/print/EAACI%202023-en.pdf","2023 - Annual Congress of European Academy of Allergy and Clinical Immunology")</f>
        <v>2023 - Annual Congress of European Academy of Allergy and Clinical Immunology</v>
      </c>
      <c r="C114" s="47" t="s">
        <v>114</v>
      </c>
      <c r="D114" s="18" t="s">
        <v>115</v>
      </c>
      <c r="E114" s="18" t="s">
        <v>473</v>
      </c>
      <c r="F114" s="17" t="s">
        <v>945</v>
      </c>
      <c r="G114" s="5">
        <v>3</v>
      </c>
      <c r="H114" s="18"/>
    </row>
    <row r="115" spans="1:8" ht="15.95" customHeight="1">
      <c r="A115" s="5">
        <v>111</v>
      </c>
      <c r="B115" s="17" t="str">
        <f>HYPERLINK("https://eaaci2022.process.y-congress.com/scientificProcess/Data/67/256/print/EAACI%20Hybrid%20Congress%202022-en.pdf","2022 - Annual Congress of European Academy of Allergy and Clinical Immunology")</f>
        <v>2022 - Annual Congress of European Academy of Allergy and Clinical Immunology</v>
      </c>
      <c r="C115" s="47" t="s">
        <v>114</v>
      </c>
      <c r="D115" s="18" t="s">
        <v>115</v>
      </c>
      <c r="E115" s="18" t="s">
        <v>473</v>
      </c>
      <c r="F115" s="17" t="s">
        <v>946</v>
      </c>
      <c r="G115" s="5">
        <v>3</v>
      </c>
      <c r="H115" s="18"/>
    </row>
    <row r="116" spans="1:8" ht="15.95" customHeight="1">
      <c r="A116" s="5">
        <v>112</v>
      </c>
      <c r="B116" s="17" t="str">
        <f>HYPERLINK("https://eaaci.org/events_congress/eaaci-hybrid-congress-2021/scientific-programme/scientific-programme/","2021 - Annual Congress of European Academy of Allergy and Clinical Immunology")</f>
        <v>2021 - Annual Congress of European Academy of Allergy and Clinical Immunology</v>
      </c>
      <c r="C116" s="47" t="s">
        <v>114</v>
      </c>
      <c r="D116" s="18" t="s">
        <v>115</v>
      </c>
      <c r="E116" s="18" t="s">
        <v>473</v>
      </c>
      <c r="F116" s="17" t="s">
        <v>947</v>
      </c>
      <c r="G116" s="5">
        <v>3</v>
      </c>
      <c r="H116" s="18"/>
    </row>
    <row r="117" spans="1:8" ht="15.95" customHeight="1">
      <c r="A117" s="5">
        <v>113</v>
      </c>
      <c r="B117" s="17" t="str">
        <f>HYPERLINK("https://eaaci.org/documents/congress/2020/EAACI_Digital_Congress_2020_PDF_Programme-JUNE%206-PM.pdf","2020 - Annual Congress of European Academy of Allergy and Clinical Immunology")</f>
        <v>2020 - Annual Congress of European Academy of Allergy and Clinical Immunology</v>
      </c>
      <c r="C117" s="47" t="s">
        <v>114</v>
      </c>
      <c r="D117" s="18" t="s">
        <v>115</v>
      </c>
      <c r="E117" s="18" t="s">
        <v>473</v>
      </c>
      <c r="F117" s="17" t="s">
        <v>948</v>
      </c>
      <c r="G117" s="5">
        <v>3</v>
      </c>
      <c r="H117" s="18"/>
    </row>
    <row r="118" spans="1:8" ht="15.95" customHeight="1">
      <c r="A118" s="5">
        <v>114</v>
      </c>
      <c r="B118" s="17" t="str">
        <f>HYPERLINK("https://ptgc.pl/wp-content/uploads/2023/06/Program.pdf","2023 - 14th European Cytogenomics Conference of European Cytogeneticists Association")</f>
        <v>2023 - 14th European Cytogenomics Conference of European Cytogeneticists Association</v>
      </c>
      <c r="C118" s="47" t="s">
        <v>114</v>
      </c>
      <c r="D118" s="18" t="s">
        <v>115</v>
      </c>
      <c r="E118" s="18" t="s">
        <v>1840</v>
      </c>
      <c r="F118" s="17" t="s">
        <v>1993</v>
      </c>
      <c r="G118" s="5" t="s">
        <v>2030</v>
      </c>
      <c r="H118" s="18"/>
    </row>
    <row r="119" spans="1:8" ht="15.95" customHeight="1">
      <c r="A119" s="5">
        <v>115</v>
      </c>
      <c r="B119" s="17" t="str">
        <f>HYPERLINK("https://aegh.org/wp-content/uploads/2021/03/ECA-2021-Flyer.pdf","2021 - 13th European Cytogenomics Conference of European Cytogeneticists Association")</f>
        <v>2021 - 13th European Cytogenomics Conference of European Cytogeneticists Association</v>
      </c>
      <c r="C119" s="47" t="s">
        <v>114</v>
      </c>
      <c r="D119" s="18" t="s">
        <v>115</v>
      </c>
      <c r="E119" s="18" t="s">
        <v>1840</v>
      </c>
      <c r="F119" s="17" t="s">
        <v>1994</v>
      </c>
      <c r="G119" s="5" t="s">
        <v>2030</v>
      </c>
      <c r="H119" s="18"/>
    </row>
    <row r="120" spans="1:8" ht="15.95" customHeight="1">
      <c r="A120" s="5">
        <v>116</v>
      </c>
      <c r="B120" s="17" t="str">
        <f>HYPERLINK("https://efi-conference.org/fileadmin/Congress_2024/program/EFI2024_Final_Program-17-5.pdf","2024 - 37th European Immunogenetics &amp; Histocompatibility Conference of the European Federation for Immunogenetics")</f>
        <v>2024 - 37th European Immunogenetics &amp; Histocompatibility Conference of the European Federation for Immunogenetics</v>
      </c>
      <c r="C120" s="47" t="s">
        <v>114</v>
      </c>
      <c r="D120" s="18" t="s">
        <v>115</v>
      </c>
      <c r="E120" s="18" t="s">
        <v>426</v>
      </c>
      <c r="F120" s="17" t="s">
        <v>1031</v>
      </c>
      <c r="G120" s="5">
        <v>3</v>
      </c>
      <c r="H120" s="18"/>
    </row>
    <row r="121" spans="1:8" ht="15.95" customHeight="1">
      <c r="A121" s="5">
        <v>117</v>
      </c>
      <c r="B121" s="17" t="str">
        <f>HYPERLINK("https://efi-web.org/news/efi2023-36th-european-immunogenetics-and-histocompatibility-conference","2023 - 36th European Immunogenetics &amp; Histocompatibility Conference of the European Federation for Immunogenetics")</f>
        <v>2023 - 36th European Immunogenetics &amp; Histocompatibility Conference of the European Federation for Immunogenetics</v>
      </c>
      <c r="C121" s="47" t="s">
        <v>114</v>
      </c>
      <c r="D121" s="18" t="s">
        <v>115</v>
      </c>
      <c r="E121" s="18" t="s">
        <v>426</v>
      </c>
      <c r="F121" s="17" t="s">
        <v>1032</v>
      </c>
      <c r="G121" s="5">
        <v>3</v>
      </c>
      <c r="H121" s="18"/>
    </row>
    <row r="122" spans="1:8" ht="15.95" customHeight="1">
      <c r="A122" s="5">
        <v>118</v>
      </c>
      <c r="B122" s="17" t="str">
        <f>HYPERLINK("https://efi-conference.org/fileadmin/Congress_2022/user_upload/Sponsorbrochure_EFF2022_A4_29okt_new.pdf","2022 - 35th European Immunogenetics &amp; Histocompatibility Conference of the European Federation for Immunogenetics")</f>
        <v>2022 - 35th European Immunogenetics &amp; Histocompatibility Conference of the European Federation for Immunogenetics</v>
      </c>
      <c r="C122" s="47" t="s">
        <v>114</v>
      </c>
      <c r="D122" s="18" t="s">
        <v>115</v>
      </c>
      <c r="E122" s="18" t="s">
        <v>426</v>
      </c>
      <c r="F122" s="17" t="s">
        <v>1033</v>
      </c>
      <c r="G122" s="5">
        <v>3</v>
      </c>
      <c r="H122" s="18"/>
    </row>
    <row r="123" spans="1:8" ht="15.95" customHeight="1">
      <c r="A123" s="5">
        <v>119</v>
      </c>
      <c r="B123" s="17" t="str">
        <f>HYPERLINK("https://bshi.org.uk/event/34th-european-immunogenetics-and-histocompatibility-conference/","2021 - 34th European Immunogenetics &amp; Histocompatibility Conference of the European Federation for Immunogenetics")</f>
        <v>2021 - 34th European Immunogenetics &amp; Histocompatibility Conference of the European Federation for Immunogenetics</v>
      </c>
      <c r="C123" s="47" t="s">
        <v>114</v>
      </c>
      <c r="D123" s="18" t="s">
        <v>115</v>
      </c>
      <c r="E123" s="18" t="s">
        <v>426</v>
      </c>
      <c r="F123" s="17" t="s">
        <v>1034</v>
      </c>
      <c r="G123" s="5">
        <v>3</v>
      </c>
      <c r="H123" s="18"/>
    </row>
    <row r="124" spans="1:8" ht="15.95" customHeight="1">
      <c r="A124" s="5">
        <v>120</v>
      </c>
      <c r="B124" s="17" t="str">
        <f>HYPERLINK("https://eci2024.org/wp-content/uploads/2024/08/ECI_2024_PROGRAMMA_DEF-20.pdf","2024 - 7th European Congress of Immunology")</f>
        <v>2024 - 7th European Congress of Immunology</v>
      </c>
      <c r="C124" s="47" t="s">
        <v>114</v>
      </c>
      <c r="D124" s="18" t="s">
        <v>115</v>
      </c>
      <c r="E124" s="18" t="s">
        <v>428</v>
      </c>
      <c r="F124" s="17" t="s">
        <v>1018</v>
      </c>
      <c r="G124" s="5">
        <v>3</v>
      </c>
      <c r="H124" s="18"/>
    </row>
    <row r="125" spans="1:8" ht="15.95" customHeight="1">
      <c r="A125" s="5">
        <v>121</v>
      </c>
      <c r="B125" s="17" t="str">
        <f>HYPERLINK("https://iuis.org/events/6th-european-congress-of-immunology-eci-2021/","2021 - 6th European Congress of Immunology")</f>
        <v>2021 - 6th European Congress of Immunology</v>
      </c>
      <c r="C125" s="47" t="s">
        <v>114</v>
      </c>
      <c r="D125" s="18" t="s">
        <v>115</v>
      </c>
      <c r="E125" s="18" t="s">
        <v>428</v>
      </c>
      <c r="F125" s="17" t="s">
        <v>1019</v>
      </c>
      <c r="G125" s="5">
        <v>3</v>
      </c>
      <c r="H125" s="18"/>
    </row>
    <row r="126" spans="1:8" ht="15.95" customHeight="1">
      <c r="A126" s="5">
        <v>122</v>
      </c>
      <c r="B126" s="17" t="str">
        <f>HYPERLINK("https://www.ejprarediseases.org/wp-content/uploads/2023/10/erica-ejp-rd-programme-2023.pdf","2023 - Joint Conference on European Joint Programme on Rare Disease and European Rare Disease Research Coordination and Support Action Consortium")</f>
        <v>2023 - Joint Conference on European Joint Programme on Rare Disease and European Rare Disease Research Coordination and Support Action Consortium</v>
      </c>
      <c r="C126" s="47" t="s">
        <v>114</v>
      </c>
      <c r="D126" s="18" t="s">
        <v>115</v>
      </c>
      <c r="E126" s="18" t="s">
        <v>1138</v>
      </c>
      <c r="F126" s="17" t="s">
        <v>1139</v>
      </c>
      <c r="G126" s="5" t="s">
        <v>2031</v>
      </c>
      <c r="H126" s="18"/>
    </row>
    <row r="127" spans="1:8" ht="15.95" customHeight="1">
      <c r="A127" s="5">
        <v>123</v>
      </c>
      <c r="B127" s="17" t="str">
        <f>HYPERLINK("https://download2.eurordis.org/ecrd/2024/ECRD_2024_Programme.pdf","2024 - 12th European Conference on Rare Diseases and Orphan Products")</f>
        <v>2024 - 12th European Conference on Rare Diseases and Orphan Products</v>
      </c>
      <c r="C127" s="47" t="s">
        <v>114</v>
      </c>
      <c r="D127" s="18" t="s">
        <v>115</v>
      </c>
      <c r="E127" s="18" t="s">
        <v>359</v>
      </c>
      <c r="F127" s="17" t="s">
        <v>1140</v>
      </c>
      <c r="G127" s="5" t="s">
        <v>2031</v>
      </c>
      <c r="H127" s="18"/>
    </row>
    <row r="128" spans="1:8" ht="15.95" customHeight="1">
      <c r="A128" s="5">
        <v>124</v>
      </c>
      <c r="B128" s="17" t="str">
        <f>HYPERLINK("https://download2.eurordis.org/ecrd/2022/EXECUTIVE_SUMMARY_FINAL_18-11.pdf","2022 - 11th European Conference on Rare Diseases and Orphan Products")</f>
        <v>2022 - 11th European Conference on Rare Diseases and Orphan Products</v>
      </c>
      <c r="C128" s="47" t="s">
        <v>114</v>
      </c>
      <c r="D128" s="18" t="s">
        <v>115</v>
      </c>
      <c r="E128" s="18" t="s">
        <v>359</v>
      </c>
      <c r="F128" s="17" t="s">
        <v>1141</v>
      </c>
      <c r="G128" s="5" t="s">
        <v>2031</v>
      </c>
      <c r="H128" s="18"/>
    </row>
    <row r="129" spans="1:8" ht="15.95" customHeight="1">
      <c r="A129" s="5">
        <v>125</v>
      </c>
      <c r="B129" s="17" t="str">
        <f>HYPERLINK("http://download2.eurordis.org.s3-eu-west-1.amazonaws.com/ecrd/2020/ECRD2020_full_programme.pdf","2020 - 10th European Conference on Rare Diseases and Orphan Products")</f>
        <v>2020 - 10th European Conference on Rare Diseases and Orphan Products</v>
      </c>
      <c r="C129" s="47" t="s">
        <v>114</v>
      </c>
      <c r="D129" s="18" t="s">
        <v>115</v>
      </c>
      <c r="E129" s="18" t="s">
        <v>359</v>
      </c>
      <c r="F129" s="17" t="s">
        <v>1142</v>
      </c>
      <c r="G129" s="5" t="s">
        <v>2031</v>
      </c>
      <c r="H129" s="18"/>
    </row>
    <row r="130" spans="1:8" ht="15.95" customHeight="1">
      <c r="A130" s="5">
        <v>126</v>
      </c>
      <c r="B130" s="17" t="str">
        <f>HYPERLINK("https://ern-euro-nmd.eu/wp-content/uploads/2024/07/ERICA-GA2024-Programme.pdf","2024 - Meeting of European Rare Disease Research Coordination and Support Action Consortium (ERICA)")</f>
        <v>2024 - Meeting of European Rare Disease Research Coordination and Support Action Consortium (ERICA)</v>
      </c>
      <c r="C130" s="47" t="s">
        <v>114</v>
      </c>
      <c r="D130" s="18" t="s">
        <v>115</v>
      </c>
      <c r="E130" s="18" t="s">
        <v>497</v>
      </c>
      <c r="F130" s="17" t="s">
        <v>1187</v>
      </c>
      <c r="G130" s="5" t="s">
        <v>2031</v>
      </c>
      <c r="H130" s="18"/>
    </row>
    <row r="131" spans="1:8" ht="15.95" customHeight="1">
      <c r="A131" s="5">
        <v>127</v>
      </c>
      <c r="B131" s="17" t="str">
        <f>HYPERLINK("https://erica-rd.eu/wp-content/uploads/2023/03/ERICA-GA2023-Programme.pdf","2023 - Meeting of European Rare Disease Research Coordination and Support Action Consortium (ERICA)")</f>
        <v>2023 - Meeting of European Rare Disease Research Coordination and Support Action Consortium (ERICA)</v>
      </c>
      <c r="C131" s="47" t="s">
        <v>114</v>
      </c>
      <c r="D131" s="18" t="s">
        <v>115</v>
      </c>
      <c r="E131" s="18" t="s">
        <v>497</v>
      </c>
      <c r="F131" s="17" t="s">
        <v>1188</v>
      </c>
      <c r="G131" s="5" t="s">
        <v>2031</v>
      </c>
      <c r="H131" s="18"/>
    </row>
    <row r="132" spans="1:8" ht="15.95" customHeight="1">
      <c r="A132" s="5">
        <v>128</v>
      </c>
      <c r="B132" s="17" t="str">
        <f>HYPERLINK("https://erica-rd.eu/wp-content/uploads/2022/04/220411-ERICA-2nd-General-Assembly-Preliminary-Programme.pdf","2022 - Meeting of European Rare Disease Research Coordination and Support Action Consortium (ERICA)")</f>
        <v>2022 - Meeting of European Rare Disease Research Coordination and Support Action Consortium (ERICA)</v>
      </c>
      <c r="C132" s="47" t="s">
        <v>114</v>
      </c>
      <c r="D132" s="18" t="s">
        <v>115</v>
      </c>
      <c r="E132" s="18" t="s">
        <v>497</v>
      </c>
      <c r="F132" s="17" t="s">
        <v>1189</v>
      </c>
      <c r="G132" s="5" t="s">
        <v>2031</v>
      </c>
      <c r="H132" s="18"/>
    </row>
    <row r="133" spans="1:8" ht="15.95" customHeight="1">
      <c r="A133" s="5">
        <v>129</v>
      </c>
      <c r="B133" s="17" t="str">
        <f>HYPERLINK("https://erica-rd.eu/wp-content/uploads/2021/05/ERICA-GA2021.pdf","2021 - Meeting of European Rare Disease Research Coordination and Support Action Consortium (ERICA)")</f>
        <v>2021 - Meeting of European Rare Disease Research Coordination and Support Action Consortium (ERICA)</v>
      </c>
      <c r="C133" s="47" t="s">
        <v>114</v>
      </c>
      <c r="D133" s="18" t="s">
        <v>115</v>
      </c>
      <c r="E133" s="18" t="s">
        <v>497</v>
      </c>
      <c r="F133" s="17" t="s">
        <v>1190</v>
      </c>
      <c r="G133" s="5" t="s">
        <v>2031</v>
      </c>
      <c r="H133" s="18"/>
    </row>
    <row r="134" spans="1:8" ht="15.95" customHeight="1">
      <c r="A134" s="5">
        <v>130</v>
      </c>
      <c r="B134" s="17" t="str">
        <f>HYPERLINK("https://apps.m-anage.com/eshg2024/en-GB/pag","2024 - 57th Annual Conference of The European Society of Human Genetics")</f>
        <v>2024 - 57th Annual Conference of The European Society of Human Genetics</v>
      </c>
      <c r="C134" s="47" t="s">
        <v>114</v>
      </c>
      <c r="D134" s="18" t="s">
        <v>115</v>
      </c>
      <c r="E134" s="18" t="s">
        <v>1762</v>
      </c>
      <c r="F134" s="17" t="s">
        <v>1885</v>
      </c>
      <c r="G134" s="5" t="s">
        <v>2030</v>
      </c>
      <c r="H134" s="18"/>
    </row>
    <row r="135" spans="1:8" ht="15.95" customHeight="1">
      <c r="A135" s="5">
        <v>131</v>
      </c>
      <c r="B135" s="17" t="str">
        <f>HYPERLINK("https://eshg2018.floq.live/event/eshg2023/dailyprogramme","2023 - 56th Annual Conference of The European Society of Human Genetics")</f>
        <v>2023 - 56th Annual Conference of The European Society of Human Genetics</v>
      </c>
      <c r="C135" s="47" t="s">
        <v>114</v>
      </c>
      <c r="D135" s="18" t="s">
        <v>115</v>
      </c>
      <c r="E135" s="18" t="s">
        <v>1762</v>
      </c>
      <c r="F135" s="17" t="s">
        <v>1886</v>
      </c>
      <c r="G135" s="5" t="s">
        <v>2030</v>
      </c>
      <c r="H135" s="18"/>
    </row>
    <row r="136" spans="1:8" ht="15.95" customHeight="1">
      <c r="A136" s="5">
        <v>132</v>
      </c>
      <c r="B136" s="17" t="str">
        <f>HYPERLINK("https://2022.eshg.org/programme-at-a-glance/monday/","2022 - 55th Annual Conference of The European Society of Human Genetics")</f>
        <v>2022 - 55th Annual Conference of The European Society of Human Genetics</v>
      </c>
      <c r="C136" s="47" t="s">
        <v>114</v>
      </c>
      <c r="D136" s="18" t="s">
        <v>115</v>
      </c>
      <c r="E136" s="18" t="s">
        <v>1762</v>
      </c>
      <c r="F136" s="17" t="s">
        <v>1887</v>
      </c>
      <c r="G136" s="5" t="s">
        <v>2030</v>
      </c>
      <c r="H136" s="18"/>
    </row>
    <row r="137" spans="1:8" ht="15.95" customHeight="1">
      <c r="A137" s="5">
        <v>133</v>
      </c>
      <c r="B137" s="17" t="str">
        <f>HYPERLINK("https://2021.eshg.org/programme/","2021 - 54th Annual Conference of The European Society of Human Genetics")</f>
        <v>2021 - 54th Annual Conference of The European Society of Human Genetics</v>
      </c>
      <c r="C137" s="47" t="s">
        <v>114</v>
      </c>
      <c r="D137" s="18" t="s">
        <v>115</v>
      </c>
      <c r="E137" s="18" t="s">
        <v>1762</v>
      </c>
      <c r="F137" s="17" t="s">
        <v>1888</v>
      </c>
      <c r="G137" s="5" t="s">
        <v>2030</v>
      </c>
      <c r="H137" s="18"/>
    </row>
    <row r="138" spans="1:8" ht="15.95" customHeight="1">
      <c r="A138" s="5">
        <v>134</v>
      </c>
      <c r="B138" s="17" t="str">
        <f>HYPERLINK("https://www.thermofisher.com/in/en/home/products-and-services/promotions/eshg20.html","2020 - 53rd Annual Conference of The European Society of Human Genetics")</f>
        <v>2020 - 53rd Annual Conference of The European Society of Human Genetics</v>
      </c>
      <c r="C138" s="47" t="s">
        <v>114</v>
      </c>
      <c r="D138" s="18" t="s">
        <v>115</v>
      </c>
      <c r="E138" s="18" t="s">
        <v>1762</v>
      </c>
      <c r="F138" s="17" t="s">
        <v>1889</v>
      </c>
      <c r="G138" s="5" t="s">
        <v>2030</v>
      </c>
      <c r="H138" s="18"/>
    </row>
    <row r="139" spans="1:8" ht="15.95" customHeight="1">
      <c r="A139" s="5">
        <v>135</v>
      </c>
      <c r="B139" s="17" t="str">
        <f>HYPERLINK("https://aliber.org/web/2023/03/13/memoria-tecnica-foro-de-alto-nivel-x-encuentro-iberoamericano-de-enfermedades-raras-aliber/","2023 - X Annual Meeting of the Ibero-American Alliance for Rare Diseases")</f>
        <v>2023 - X Annual Meeting of the Ibero-American Alliance for Rare Diseases</v>
      </c>
      <c r="C139" s="47" t="s">
        <v>114</v>
      </c>
      <c r="D139" s="18" t="s">
        <v>295</v>
      </c>
      <c r="E139" s="18" t="s">
        <v>312</v>
      </c>
      <c r="F139" s="17" t="s">
        <v>988</v>
      </c>
      <c r="G139" s="5" t="s">
        <v>2031</v>
      </c>
      <c r="H139" s="18"/>
    </row>
    <row r="140" spans="1:8" ht="15.95" customHeight="1">
      <c r="A140" s="5">
        <v>136</v>
      </c>
      <c r="B140" s="17" t="str">
        <f>HYPERLINK("https://aliber.org/web/2021/12/02/aliber-realiza-con-exito-el-ix-encuentro-iberoamericano-de-enfermedades-raras/","2021 - IX Annual Meeting of the Ibero-American Alliance for Rare Diseases")</f>
        <v>2021 - IX Annual Meeting of the Ibero-American Alliance for Rare Diseases</v>
      </c>
      <c r="C140" s="47" t="s">
        <v>114</v>
      </c>
      <c r="D140" s="18" t="s">
        <v>295</v>
      </c>
      <c r="E140" s="18" t="s">
        <v>312</v>
      </c>
      <c r="F140" s="17" t="s">
        <v>989</v>
      </c>
      <c r="G140" s="5" t="s">
        <v>2031</v>
      </c>
      <c r="H140" s="18"/>
    </row>
    <row r="141" spans="1:8" ht="15.95" customHeight="1">
      <c r="A141" s="5">
        <v>137</v>
      </c>
      <c r="B141" s="17" t="str">
        <f>HYPERLINK("https://aliber.org/web/2020/07/09/el-viii-congreso-encuentro-iberoamericano-de-enfermedades-raras-huerfanas-o-poco-frecuentes-este-ano-sera-online/","2020 - VIII Annual Meeting of the Ibero-American Alliance for Rare Diseases")</f>
        <v>2020 - VIII Annual Meeting of the Ibero-American Alliance for Rare Diseases</v>
      </c>
      <c r="C141" s="47" t="s">
        <v>114</v>
      </c>
      <c r="D141" s="18" t="s">
        <v>295</v>
      </c>
      <c r="E141" s="18" t="s">
        <v>312</v>
      </c>
      <c r="F141" s="17" t="s">
        <v>990</v>
      </c>
      <c r="G141" s="5" t="s">
        <v>2031</v>
      </c>
      <c r="H141" s="18"/>
    </row>
    <row r="142" spans="1:8" ht="15.95" customHeight="1">
      <c r="A142" s="5">
        <v>138</v>
      </c>
      <c r="B142" s="17" t="str">
        <f>HYPERLINK("https://lasid.org/meeting-2023/","2023 - Annual Meeting of Latin American Society for Immunodeficiencies")</f>
        <v>2023 - Annual Meeting of Latin American Society for Immunodeficiencies</v>
      </c>
      <c r="C142" s="47" t="s">
        <v>114</v>
      </c>
      <c r="D142" s="18" t="s">
        <v>295</v>
      </c>
      <c r="E142" s="18" t="s">
        <v>382</v>
      </c>
      <c r="F142" s="17" t="s">
        <v>1091</v>
      </c>
      <c r="G142" s="5">
        <v>2</v>
      </c>
      <c r="H142" s="18"/>
    </row>
    <row r="143" spans="1:8" ht="15.95" customHeight="1">
      <c r="A143" s="5">
        <v>139</v>
      </c>
      <c r="B143" s="17" t="str">
        <f>HYPERLINK("https://www.sochipe.cl/subidos/congresos/docs/Programa%20LASID.pdf","2021 - Annual Meeting of Latin American Society for Immunodeficiencies")</f>
        <v>2021 - Annual Meeting of Latin American Society for Immunodeficiencies</v>
      </c>
      <c r="C143" s="47" t="s">
        <v>114</v>
      </c>
      <c r="D143" s="18" t="s">
        <v>295</v>
      </c>
      <c r="E143" s="18" t="s">
        <v>382</v>
      </c>
      <c r="F143" s="17" t="s">
        <v>1092</v>
      </c>
      <c r="G143" s="5">
        <v>2</v>
      </c>
      <c r="H143" s="18"/>
    </row>
    <row r="144" spans="1:8" ht="15.95" customHeight="1">
      <c r="A144" s="5">
        <v>140</v>
      </c>
      <c r="B144" s="17" t="str">
        <f>HYPERLINK("https://drive.google.com/file/d/1hyz0CmGewb_cEu-vqagGjQDPLBvuXGhb/view","2023 - XXII Annual Congress on Latin American Society of Allergy and Immunology")</f>
        <v>2023 - XXII Annual Congress on Latin American Society of Allergy and Immunology</v>
      </c>
      <c r="C144" s="47" t="s">
        <v>114</v>
      </c>
      <c r="D144" s="18" t="s">
        <v>295</v>
      </c>
      <c r="E144" s="18" t="s">
        <v>475</v>
      </c>
      <c r="F144" s="17" t="s">
        <v>1152</v>
      </c>
      <c r="G144" s="5">
        <v>3</v>
      </c>
      <c r="H144" s="18"/>
    </row>
    <row r="145" spans="1:8" ht="15.95" customHeight="1">
      <c r="A145" s="5">
        <v>141</v>
      </c>
      <c r="B145" s="17" t="str">
        <f>HYPERLINK("https://slaai.blogspot.com/search/label/congreso%20slaai%202021?m=0","2021 - XXI Annual Congress on Latin American Society of Allergy and Immunology")</f>
        <v>2021 - XXI Annual Congress on Latin American Society of Allergy and Immunology</v>
      </c>
      <c r="C145" s="47" t="s">
        <v>114</v>
      </c>
      <c r="D145" s="18" t="s">
        <v>295</v>
      </c>
      <c r="E145" s="18" t="s">
        <v>475</v>
      </c>
      <c r="F145" s="17" t="s">
        <v>1153</v>
      </c>
      <c r="G145" s="5">
        <v>3</v>
      </c>
      <c r="H145" s="18"/>
    </row>
    <row r="146" spans="1:8" ht="15.95" customHeight="1">
      <c r="A146" s="5">
        <v>142</v>
      </c>
      <c r="B146" s="17" t="str">
        <f>HYPERLINK("https://www.alaci.org/en/13th-latin-american-and-caribbean-congress-of-immunology-alaci-2022/","2022 - 13th Latin American and Caribbean Congress of Immunology")</f>
        <v>2022 - 13th Latin American and Caribbean Congress of Immunology</v>
      </c>
      <c r="C146" s="47" t="s">
        <v>114</v>
      </c>
      <c r="D146" s="18" t="s">
        <v>363</v>
      </c>
      <c r="E146" s="18" t="s">
        <v>430</v>
      </c>
      <c r="F146" s="17" t="s">
        <v>1030</v>
      </c>
      <c r="G146" s="5">
        <v>3</v>
      </c>
      <c r="H146" s="18"/>
    </row>
    <row r="147" spans="1:8" ht="15.95" customHeight="1">
      <c r="A147" s="5">
        <v>143</v>
      </c>
      <c r="B147" s="17" t="str">
        <f>HYPERLINK("https://alaci.org/subidas/alaci24/ALACI2024Program.pdf","2024 - 14th Latin American and Caribbean Congress of Immunology")</f>
        <v>2024 - 14th Latin American and Caribbean Congress of Immunology</v>
      </c>
      <c r="C147" s="47" t="s">
        <v>114</v>
      </c>
      <c r="D147" s="18" t="s">
        <v>363</v>
      </c>
      <c r="E147" s="18" t="s">
        <v>1028</v>
      </c>
      <c r="F147" s="17" t="s">
        <v>1029</v>
      </c>
      <c r="G147" s="5">
        <v>3</v>
      </c>
      <c r="H147" s="18"/>
    </row>
    <row r="148" spans="1:8" ht="15.95" customHeight="1">
      <c r="A148" s="5">
        <v>144</v>
      </c>
      <c r="B148" s="17" t="str">
        <f>HYPERLINK("https://ercalgroup.org/","2024 - 2nd Congress on Rare Diseases of Rare Diseases in the Caribbean and Latin America (ERCAL)")</f>
        <v>2024 - 2nd Congress on Rare Diseases of Rare Diseases in the Caribbean and Latin America (ERCAL)</v>
      </c>
      <c r="C148" s="47" t="s">
        <v>114</v>
      </c>
      <c r="D148" s="18" t="s">
        <v>363</v>
      </c>
      <c r="E148" s="18" t="s">
        <v>362</v>
      </c>
      <c r="F148" s="17" t="s">
        <v>364</v>
      </c>
      <c r="G148" s="5" t="s">
        <v>2031</v>
      </c>
      <c r="H148" s="18"/>
    </row>
    <row r="149" spans="1:8" ht="15.95" customHeight="1">
      <c r="A149" s="5">
        <v>145</v>
      </c>
      <c r="B149" s="17" t="str">
        <f>HYPERLINK("https://ercalgroup.org/wp-content/uploads/2023/06/UPDT-ENGLISH.pdf","2023 - 1st Congress on Rare Diseases of Rare Diseases in the Caribbean and Latin America (ERCAL)")</f>
        <v>2023 - 1st Congress on Rare Diseases of Rare Diseases in the Caribbean and Latin America (ERCAL)</v>
      </c>
      <c r="C149" s="47" t="s">
        <v>114</v>
      </c>
      <c r="D149" s="18" t="s">
        <v>363</v>
      </c>
      <c r="E149" s="18" t="s">
        <v>362</v>
      </c>
      <c r="F149" s="17" t="s">
        <v>1076</v>
      </c>
      <c r="G149" s="5" t="s">
        <v>2031</v>
      </c>
      <c r="H149" s="18"/>
    </row>
    <row r="150" spans="1:8" ht="15.95" customHeight="1">
      <c r="A150" s="5">
        <v>146</v>
      </c>
      <c r="B150" s="17" t="str">
        <f>HYPERLINK("https://www.congresoidp.com.ar/","2024 - 4th Virtual Congress for Patients with Primary Immunodeficiencies")</f>
        <v>2024 - 4th Virtual Congress for Patients with Primary Immunodeficiencies</v>
      </c>
      <c r="C150" s="47" t="s">
        <v>15</v>
      </c>
      <c r="D150" s="18" t="s">
        <v>161</v>
      </c>
      <c r="E150" s="18" t="s">
        <v>274</v>
      </c>
      <c r="F150" s="17" t="s">
        <v>1062</v>
      </c>
      <c r="G150" s="5">
        <v>1</v>
      </c>
      <c r="H150" s="18"/>
    </row>
    <row r="151" spans="1:8" ht="15.95" customHeight="1">
      <c r="A151" s="5">
        <v>147</v>
      </c>
      <c r="B151" s="17" t="str">
        <f>HYPERLINK("https://aapidp.com.ar/noticias_detalle.php?IdNoticia=1679","2023 - 3th Virtual Congress for Patients with Primary Immunodeficiencies of Argentine Association for the Aid of the Patient with Primary Immunodeficiency (AAPIDP)")</f>
        <v>2023 - 3th Virtual Congress for Patients with Primary Immunodeficiencies of Argentine Association for the Aid of the Patient with Primary Immunodeficiency (AAPIDP)</v>
      </c>
      <c r="C151" s="47" t="s">
        <v>15</v>
      </c>
      <c r="D151" s="18" t="s">
        <v>161</v>
      </c>
      <c r="E151" s="18" t="s">
        <v>274</v>
      </c>
      <c r="F151" s="17" t="s">
        <v>1063</v>
      </c>
      <c r="G151" s="5">
        <v>1</v>
      </c>
      <c r="H151" s="18"/>
    </row>
    <row r="152" spans="1:8" ht="15.95" customHeight="1">
      <c r="A152" s="5">
        <v>148</v>
      </c>
      <c r="B152" s="17" t="str">
        <f>HYPERLINK("https://aapidp.com.ar/noticias_detalle.php?IdNoticia=1690","2022 - 2nd Virtual Congress for Patients with Primary Immunodeficiencies of Argentine Association for the Aid of the Patient with Primary Immunodeficiency (AAPIDP)")</f>
        <v>2022 - 2nd Virtual Congress for Patients with Primary Immunodeficiencies of Argentine Association for the Aid of the Patient with Primary Immunodeficiency (AAPIDP)</v>
      </c>
      <c r="C152" s="47" t="s">
        <v>15</v>
      </c>
      <c r="D152" s="18" t="s">
        <v>161</v>
      </c>
      <c r="E152" s="18" t="s">
        <v>274</v>
      </c>
      <c r="F152" s="17" t="s">
        <v>1064</v>
      </c>
      <c r="G152" s="5">
        <v>1</v>
      </c>
      <c r="H152" s="18"/>
    </row>
    <row r="153" spans="1:8" ht="15.95" customHeight="1">
      <c r="A153" s="5">
        <v>149</v>
      </c>
      <c r="B153" s="17" t="str">
        <f>HYPERLINK("http://www.anadip.org/index.php/26-1-congreso-virtual-para-pacientes-con-inmunodeficiencias-primarias","2021 - 1st Virtual Congress for Patients with Primary Immunodeficiencies of Argentine Association for the Aid of the Patient with Primary Immunodeficiency (AAPIDP)")</f>
        <v>2021 - 1st Virtual Congress for Patients with Primary Immunodeficiencies of Argentine Association for the Aid of the Patient with Primary Immunodeficiency (AAPIDP)</v>
      </c>
      <c r="C153" s="47" t="s">
        <v>15</v>
      </c>
      <c r="D153" s="18" t="s">
        <v>161</v>
      </c>
      <c r="E153" s="18" t="s">
        <v>274</v>
      </c>
      <c r="F153" s="17" t="s">
        <v>1065</v>
      </c>
      <c r="G153" s="5">
        <v>1</v>
      </c>
      <c r="H153" s="18"/>
    </row>
    <row r="154" spans="1:8" ht="15.95" customHeight="1">
      <c r="A154" s="5">
        <v>150</v>
      </c>
      <c r="B154" s="17" t="str">
        <f>HYPERLINK("https://congresoanualaaaeic.com.ar/media/programa2024.pdf","2024 - XLVII Annual Congress Argentine Association of Allergy and Clinical Immunology")</f>
        <v>2024 - XLVII Annual Congress Argentine Association of Allergy and Clinical Immunology</v>
      </c>
      <c r="C154" s="47" t="s">
        <v>15</v>
      </c>
      <c r="D154" s="18" t="s">
        <v>161</v>
      </c>
      <c r="E154" s="18" t="s">
        <v>432</v>
      </c>
      <c r="F154" s="17" t="s">
        <v>1035</v>
      </c>
      <c r="G154" s="5">
        <v>3</v>
      </c>
      <c r="H154" s="18"/>
    </row>
    <row r="155" spans="1:8" ht="15.95" customHeight="1">
      <c r="A155" s="5">
        <v>151</v>
      </c>
      <c r="B155" s="17" t="str">
        <f>HYPERLINK("https://www.fadepof.org.ar/noticias_detalle.php?IdNoticia=1620","2023 - Impulso Annual Meeting of Argentine Federation of Rare Diseases")</f>
        <v>2023 - Impulso Annual Meeting of Argentine Federation of Rare Diseases</v>
      </c>
      <c r="C155" s="47" t="s">
        <v>15</v>
      </c>
      <c r="D155" s="18" t="s">
        <v>161</v>
      </c>
      <c r="E155" s="18" t="s">
        <v>317</v>
      </c>
      <c r="F155" s="17" t="s">
        <v>1066</v>
      </c>
      <c r="G155" s="5" t="s">
        <v>2031</v>
      </c>
      <c r="H155" s="18"/>
    </row>
    <row r="156" spans="1:8" ht="15.95" customHeight="1">
      <c r="A156" s="5">
        <v>152</v>
      </c>
      <c r="B156" s="17" t="str">
        <f>HYPERLINK("https://sag.org.ar/congreso2023/index.php/programa-cientifico/","2023 - LI Congress of the Argentine Genetics Society (SAG)")</f>
        <v>2023 - LI Congress of the Argentine Genetics Society (SAG)</v>
      </c>
      <c r="C156" s="47" t="s">
        <v>15</v>
      </c>
      <c r="D156" s="18" t="s">
        <v>161</v>
      </c>
      <c r="E156" s="18" t="s">
        <v>1809</v>
      </c>
      <c r="F156" s="17" t="s">
        <v>1935</v>
      </c>
      <c r="G156" s="5" t="s">
        <v>2030</v>
      </c>
      <c r="H156" s="18"/>
    </row>
    <row r="157" spans="1:8" ht="15.95" customHeight="1">
      <c r="A157" s="5">
        <v>153</v>
      </c>
      <c r="B157" s="17" t="str">
        <f>HYPERLINK("https://sag.org.ar/sitio/l-congreso-argentino-de-genetica-y-ii-jornadas-regionales-sag-nea/","2022 - L Congress of the Argentine Genetics Society (SAG)")</f>
        <v>2022 - L Congress of the Argentine Genetics Society (SAG)</v>
      </c>
      <c r="C157" s="47" t="s">
        <v>15</v>
      </c>
      <c r="D157" s="18" t="s">
        <v>161</v>
      </c>
      <c r="E157" s="18" t="s">
        <v>1809</v>
      </c>
      <c r="F157" s="17" t="s">
        <v>1936</v>
      </c>
      <c r="G157" s="5" t="s">
        <v>2030</v>
      </c>
      <c r="H157" s="18"/>
    </row>
    <row r="158" spans="1:8" ht="15.95" customHeight="1">
      <c r="A158" s="5">
        <v>154</v>
      </c>
      <c r="B158" s="17" t="str">
        <f>HYPERLINK("https://sag.org.ar/sitio/wp-content/uploads/2020/09/CongresoSAG2020_Programa160920.pdf","2020 - XLVIII Congress of the Argentine Genetics Society (SAG)")</f>
        <v>2020 - XLVIII Congress of the Argentine Genetics Society (SAG)</v>
      </c>
      <c r="C158" s="47" t="s">
        <v>15</v>
      </c>
      <c r="D158" s="18" t="s">
        <v>161</v>
      </c>
      <c r="E158" s="18" t="s">
        <v>1809</v>
      </c>
      <c r="F158" s="17" t="s">
        <v>1938</v>
      </c>
      <c r="G158" s="5" t="s">
        <v>2030</v>
      </c>
      <c r="H158" s="18"/>
    </row>
    <row r="159" spans="1:8" ht="15.95" customHeight="1">
      <c r="A159" s="5">
        <v>155</v>
      </c>
      <c r="B159" s="17" t="str">
        <f>HYPERLINK("https://alagenet.org/alag2024/programa-por-dia/","2024 - LII Congress of the Argentine Genetics Society (SAG) and XIX Congress of the Latin American Genetics Society")</f>
        <v>2024 - LII Congress of the Argentine Genetics Society (SAG) and XIX Congress of the Latin American Genetics Society</v>
      </c>
      <c r="C159" s="47" t="s">
        <v>15</v>
      </c>
      <c r="D159" s="18" t="s">
        <v>161</v>
      </c>
      <c r="E159" s="18" t="s">
        <v>1933</v>
      </c>
      <c r="F159" s="17" t="s">
        <v>1934</v>
      </c>
      <c r="G159" s="5" t="s">
        <v>2030</v>
      </c>
      <c r="H159" s="18"/>
    </row>
    <row r="160" spans="1:8" ht="15.95" customHeight="1">
      <c r="A160" s="5">
        <v>156</v>
      </c>
      <c r="B160" s="17" t="str">
        <f>HYPERLINK("https://alagenet.org/alag2021/en/scientific-program/","2021 - XLIX Congress of the Argentine Genetics Society (SAG) and XVIII Congress of the Latin American Genetics Society")</f>
        <v>2021 - XLIX Congress of the Argentine Genetics Society (SAG) and XVIII Congress of the Latin American Genetics Society</v>
      </c>
      <c r="C160" s="47" t="s">
        <v>15</v>
      </c>
      <c r="D160" s="18" t="s">
        <v>161</v>
      </c>
      <c r="E160" s="18" t="s">
        <v>1933</v>
      </c>
      <c r="F160" s="17" t="s">
        <v>1937</v>
      </c>
      <c r="G160" s="5" t="s">
        <v>2030</v>
      </c>
      <c r="H160" s="18"/>
    </row>
    <row r="161" spans="1:8" ht="15.95" customHeight="1">
      <c r="A161" s="5">
        <v>157</v>
      </c>
      <c r="B161" s="17" t="str">
        <f>HYPERLINK("https://inmunologia.org.ar/wp-content/uploads/2023/11/PROGRAM-FINAL.pdf","2023 - LXXI Annual Meeting of the Argentine Society of Immunology")</f>
        <v>2023 - LXXI Annual Meeting of the Argentine Society of Immunology</v>
      </c>
      <c r="C161" s="47" t="s">
        <v>15</v>
      </c>
      <c r="D161" s="18" t="s">
        <v>161</v>
      </c>
      <c r="E161" s="18" t="s">
        <v>388</v>
      </c>
      <c r="F161" s="17" t="s">
        <v>954</v>
      </c>
      <c r="G161" s="5">
        <v>3</v>
      </c>
      <c r="H161" s="18"/>
    </row>
    <row r="162" spans="1:8" ht="15.95" customHeight="1">
      <c r="A162" s="5">
        <v>158</v>
      </c>
      <c r="B162" s="17" t="str">
        <f>HYPERLINK("https://inmunologia.org.ar/reunion-conjunta-anual-2022/","2022 - LXX Annual Meeting of the Argentine Society of Immunology")</f>
        <v>2022 - LXX Annual Meeting of the Argentine Society of Immunology</v>
      </c>
      <c r="C162" s="47" t="s">
        <v>15</v>
      </c>
      <c r="D162" s="18" t="s">
        <v>161</v>
      </c>
      <c r="E162" s="18" t="s">
        <v>388</v>
      </c>
      <c r="F162" s="17" t="s">
        <v>955</v>
      </c>
      <c r="G162" s="5">
        <v>3</v>
      </c>
      <c r="H162" s="18"/>
    </row>
    <row r="163" spans="1:8" ht="15.95" customHeight="1">
      <c r="A163" s="5">
        <v>159</v>
      </c>
      <c r="B163" s="17" t="str">
        <f>HYPERLINK("https://inmunologia.org.ar/programa-sai-reunion-anual/","2021 - LXIX Annual Meeting of the Argentine Society of Immunology")</f>
        <v>2021 - LXIX Annual Meeting of the Argentine Society of Immunology</v>
      </c>
      <c r="C163" s="47" t="s">
        <v>15</v>
      </c>
      <c r="D163" s="18" t="s">
        <v>161</v>
      </c>
      <c r="E163" s="18" t="s">
        <v>388</v>
      </c>
      <c r="F163" s="17" t="s">
        <v>956</v>
      </c>
      <c r="G163" s="5">
        <v>3</v>
      </c>
      <c r="H163" s="18"/>
    </row>
    <row r="164" spans="1:8" ht="15.95" customHeight="1">
      <c r="A164" s="5">
        <v>160</v>
      </c>
      <c r="B164" s="17" t="str">
        <f>HYPERLINK("https://inmunologia.org.ar/documentos/pdf/Programa_SAIC_SAI_SAFIS_%202020.pdf","2020 - LXVIII Annual Meeting of the Argentine Society of Immunology")</f>
        <v>2020 - LXVIII Annual Meeting of the Argentine Society of Immunology</v>
      </c>
      <c r="C164" s="47" t="s">
        <v>15</v>
      </c>
      <c r="D164" s="18" t="s">
        <v>161</v>
      </c>
      <c r="E164" s="18" t="s">
        <v>388</v>
      </c>
      <c r="F164" s="17" t="s">
        <v>957</v>
      </c>
      <c r="G164" s="5">
        <v>3</v>
      </c>
      <c r="H164" s="18"/>
    </row>
    <row r="165" spans="1:8" ht="15.95" customHeight="1">
      <c r="A165" s="5">
        <v>161</v>
      </c>
      <c r="B165" s="17" t="str">
        <f>HYPERLINK("https://conference.agcts.org.au/program/","2024 - Australasian Gene and Cell Therapy Society Conference")</f>
        <v>2024 - Australasian Gene and Cell Therapy Society Conference</v>
      </c>
      <c r="C165" s="47" t="s">
        <v>15</v>
      </c>
      <c r="D165" s="18" t="s">
        <v>162</v>
      </c>
      <c r="E165" s="18" t="s">
        <v>1828</v>
      </c>
      <c r="F165" s="17" t="s">
        <v>2001</v>
      </c>
      <c r="G165" s="5" t="s">
        <v>2030</v>
      </c>
      <c r="H165" s="18"/>
    </row>
    <row r="166" spans="1:8" ht="15.95" customHeight="1">
      <c r="A166" s="5">
        <v>162</v>
      </c>
      <c r="B166" s="17" t="str">
        <f>HYPERLINK("https://icmsmeetings.eventsair.com/asscragcts-2022/agenda","2022 - Australasian Society for Stem Cell Research and Australasian Gene and Cell Therapy Society Scientific Meeting")</f>
        <v>2022 - Australasian Society for Stem Cell Research and Australasian Gene and Cell Therapy Society Scientific Meeting</v>
      </c>
      <c r="C166" s="47" t="s">
        <v>15</v>
      </c>
      <c r="D166" s="18" t="s">
        <v>162</v>
      </c>
      <c r="E166" s="18" t="s">
        <v>2002</v>
      </c>
      <c r="F166" s="17" t="s">
        <v>2003</v>
      </c>
      <c r="G166" s="5" t="s">
        <v>2030</v>
      </c>
      <c r="H166" s="18"/>
    </row>
    <row r="167" spans="1:8" ht="15.95" customHeight="1">
      <c r="A167" s="5">
        <v>163</v>
      </c>
      <c r="B167" s="17" t="str">
        <f>HYPERLINK("https://www.allergy.org.au/images/conf/ASCIA2024_PROGRAM_BOOK.pdf","2024 - 34th Annual Conference of the Australasian Society of Clinical Immunology and Allergy")</f>
        <v>2024 - 34th Annual Conference of the Australasian Society of Clinical Immunology and Allergy</v>
      </c>
      <c r="C167" s="47" t="s">
        <v>15</v>
      </c>
      <c r="D167" s="18" t="s">
        <v>162</v>
      </c>
      <c r="E167" s="18" t="s">
        <v>434</v>
      </c>
      <c r="F167" s="17" t="s">
        <v>1113</v>
      </c>
      <c r="G167" s="5">
        <v>3</v>
      </c>
      <c r="H167" s="18"/>
    </row>
    <row r="168" spans="1:8" ht="15.95" customHeight="1">
      <c r="A168" s="5">
        <v>164</v>
      </c>
      <c r="B168" s="17" t="str">
        <f>HYPERLINK("https://www.allergy.org.au/images/docs/conf2023/ASCIA2023_PROGRAM_BOOK_FINAL.pdf","2023 - 33rd Annual Conference of the Australasian Society of Clinical Immunology and Allergy")</f>
        <v>2023 - 33rd Annual Conference of the Australasian Society of Clinical Immunology and Allergy</v>
      </c>
      <c r="C168" s="47" t="s">
        <v>15</v>
      </c>
      <c r="D168" s="18" t="s">
        <v>162</v>
      </c>
      <c r="E168" s="18" t="s">
        <v>434</v>
      </c>
      <c r="F168" s="17" t="s">
        <v>1114</v>
      </c>
      <c r="G168" s="5">
        <v>3</v>
      </c>
      <c r="H168" s="18"/>
    </row>
    <row r="169" spans="1:8" ht="15.95" customHeight="1">
      <c r="A169" s="5">
        <v>165</v>
      </c>
      <c r="B169" s="17" t="str">
        <f>HYPERLINK("https://www.allergy.org.au/images/conf/ASCIA2022_PROGRAM_BOOK.pdf","2022 - 32nd Annual Conference of the Australasian Society of Clinical Immunology and Allergy")</f>
        <v>2022 - 32nd Annual Conference of the Australasian Society of Clinical Immunology and Allergy</v>
      </c>
      <c r="C169" s="47" t="s">
        <v>15</v>
      </c>
      <c r="D169" s="18" t="s">
        <v>162</v>
      </c>
      <c r="E169" s="18" t="s">
        <v>434</v>
      </c>
      <c r="F169" s="17" t="s">
        <v>1115</v>
      </c>
      <c r="G169" s="5">
        <v>3</v>
      </c>
      <c r="H169" s="18"/>
    </row>
    <row r="170" spans="1:8" ht="15.95" customHeight="1">
      <c r="A170" s="5">
        <v>166</v>
      </c>
      <c r="B170" s="17" t="str">
        <f>HYPERLINK("https://www.allergy.org.au/images/conf/ASCIA2021_Virtual_Program_Book_1-3_September.pdf","2021 - 31st Annual Conference of the Australasian Society of Clinical Immunology and Allergy")</f>
        <v>2021 - 31st Annual Conference of the Australasian Society of Clinical Immunology and Allergy</v>
      </c>
      <c r="C170" s="47" t="s">
        <v>15</v>
      </c>
      <c r="D170" s="18" t="s">
        <v>162</v>
      </c>
      <c r="E170" s="18" t="s">
        <v>434</v>
      </c>
      <c r="F170" s="17" t="s">
        <v>1116</v>
      </c>
      <c r="G170" s="5">
        <v>3</v>
      </c>
      <c r="H170" s="18"/>
    </row>
    <row r="171" spans="1:8" ht="15.95" customHeight="1">
      <c r="A171" s="5">
        <v>167</v>
      </c>
      <c r="B171" s="17" t="str">
        <f>HYPERLINK("https://www.immunology.org.au/ASI-2024/program/","2024 - 52nd Annual Scientific Meeting of the Australian and New Zealand Society for Immunology")</f>
        <v>2024 - 52nd Annual Scientific Meeting of the Australian and New Zealand Society for Immunology</v>
      </c>
      <c r="C171" s="47" t="s">
        <v>15</v>
      </c>
      <c r="D171" s="18" t="s">
        <v>162</v>
      </c>
      <c r="E171" s="18" t="s">
        <v>390</v>
      </c>
      <c r="F171" s="17" t="s">
        <v>1160</v>
      </c>
      <c r="G171" s="5">
        <v>3</v>
      </c>
      <c r="H171" s="18"/>
    </row>
    <row r="172" spans="1:8" ht="15.95" customHeight="1">
      <c r="A172" s="5">
        <v>168</v>
      </c>
      <c r="B172" s="17" t="str">
        <f>HYPERLINK("https://bpb-ap-se2.wpmucdn.com/blogs.auckland.ac.nz/dist/a/780/files/2023/12/website-of-Final-Programme-01-12-with-paper-titles-.pdf","2023 - 51st Annual Scientific Meeting of the Australian and New Zealand Society for Immunology")</f>
        <v>2023 - 51st Annual Scientific Meeting of the Australian and New Zealand Society for Immunology</v>
      </c>
      <c r="C172" s="47" t="s">
        <v>15</v>
      </c>
      <c r="D172" s="18" t="s">
        <v>162</v>
      </c>
      <c r="E172" s="18" t="s">
        <v>390</v>
      </c>
      <c r="F172" s="17" t="s">
        <v>1161</v>
      </c>
      <c r="G172" s="5">
        <v>3</v>
      </c>
      <c r="H172" s="18"/>
    </row>
    <row r="173" spans="1:8" ht="15.95" customHeight="1">
      <c r="A173" s="5">
        <v>169</v>
      </c>
      <c r="B173" s="17" t="str">
        <f>HYPERLINK("https://iuis.org/events/50th-annual-scientific-meeting-of-the-australian-and-new-zealand-society-for-immunology-asi-2022/#","2022 - 50th Annual Scientific Meeting of the Australian and New Zealand Society for Immunology")</f>
        <v>2022 - 50th Annual Scientific Meeting of the Australian and New Zealand Society for Immunology</v>
      </c>
      <c r="C173" s="47" t="s">
        <v>15</v>
      </c>
      <c r="D173" s="18" t="s">
        <v>162</v>
      </c>
      <c r="E173" s="18" t="s">
        <v>390</v>
      </c>
      <c r="F173" s="17" t="s">
        <v>1162</v>
      </c>
      <c r="G173" s="5">
        <v>3</v>
      </c>
      <c r="H173" s="18"/>
    </row>
    <row r="174" spans="1:8" ht="15.95" customHeight="1">
      <c r="A174" s="5">
        <v>170</v>
      </c>
      <c r="B174" s="17" t="str">
        <f>HYPERLINK("https://iuis.org/events/the-49th-annual-scientific-meeting-of-the-australian-and-new-zealand-society-for-immunology-asi-2021-2/","2021 - 49th Annual Scientific Meeting of the Australian and New Zealand Society for Immunology")</f>
        <v>2021 - 49th Annual Scientific Meeting of the Australian and New Zealand Society for Immunology</v>
      </c>
      <c r="C174" s="47" t="s">
        <v>15</v>
      </c>
      <c r="D174" s="18" t="s">
        <v>162</v>
      </c>
      <c r="E174" s="18" t="s">
        <v>390</v>
      </c>
      <c r="F174" s="17" t="s">
        <v>1163</v>
      </c>
      <c r="G174" s="5">
        <v>3</v>
      </c>
      <c r="H174" s="18"/>
    </row>
    <row r="175" spans="1:8" ht="15.95" customHeight="1">
      <c r="A175" s="5">
        <v>171</v>
      </c>
      <c r="B175" s="17" t="str">
        <f>HYPERLINK("https://www.australiangenomics.org.au/australian-functional-genomics-network-symposium-2024/","2024 - 4th Australian Functional Genomics Network (AFGN) Symposium")</f>
        <v>2024 - 4th Australian Functional Genomics Network (AFGN) Symposium</v>
      </c>
      <c r="C175" s="47" t="s">
        <v>15</v>
      </c>
      <c r="D175" s="18" t="s">
        <v>162</v>
      </c>
      <c r="E175" s="18" t="s">
        <v>1820</v>
      </c>
      <c r="F175" s="17" t="s">
        <v>1995</v>
      </c>
      <c r="G175" s="5" t="s">
        <v>2030</v>
      </c>
      <c r="H175" s="18"/>
    </row>
    <row r="176" spans="1:8" ht="15.95" customHeight="1">
      <c r="A176" s="5">
        <v>172</v>
      </c>
      <c r="B176" s="17" t="str">
        <f>HYPERLINK("https://www.geneticalliance.org.au/news.php?Annual-General-Meeting-101","2021 - Annual General Meeting for Genetic Alliance Australia")</f>
        <v>2021 - Annual General Meeting for Genetic Alliance Australia</v>
      </c>
      <c r="C176" s="47" t="s">
        <v>15</v>
      </c>
      <c r="D176" s="18" t="s">
        <v>162</v>
      </c>
      <c r="E176" s="18" t="s">
        <v>320</v>
      </c>
      <c r="F176" s="17" t="s">
        <v>1067</v>
      </c>
      <c r="G176" s="5" t="s">
        <v>2030</v>
      </c>
      <c r="H176" s="18"/>
    </row>
    <row r="177" spans="1:8" ht="15.95" customHeight="1">
      <c r="A177" s="5">
        <v>173</v>
      </c>
      <c r="B177" s="17" t="str">
        <f>HYPERLINK("https://static1.squarespace.com/static/654dd5b95d4dec24aa5984df/t/66809777c27dd900025d9df2/1719703424540/GSA+-Program+.pdf","2024 - Genetics Society of AustralAsia Conference")</f>
        <v>2024 - Genetics Society of AustralAsia Conference</v>
      </c>
      <c r="C177" s="47" t="s">
        <v>15</v>
      </c>
      <c r="D177" s="18" t="s">
        <v>162</v>
      </c>
      <c r="E177" s="18" t="s">
        <v>1824</v>
      </c>
      <c r="F177" s="17" t="s">
        <v>1999</v>
      </c>
      <c r="G177" s="5" t="s">
        <v>2030</v>
      </c>
      <c r="H177" s="18"/>
    </row>
    <row r="178" spans="1:8" ht="15.95" customHeight="1">
      <c r="A178" s="5">
        <v>174</v>
      </c>
      <c r="B178" s="17" t="str">
        <f>HYPERLINK("https://genetics.org.au/2021/09/05/gsa-2021-conference-update/","2021 - Genetics Society of AustralAsia Conference")</f>
        <v>2021 - Genetics Society of AustralAsia Conference</v>
      </c>
      <c r="C178" s="47" t="s">
        <v>15</v>
      </c>
      <c r="D178" s="18" t="s">
        <v>162</v>
      </c>
      <c r="E178" s="18" t="s">
        <v>1824</v>
      </c>
      <c r="F178" s="17" t="s">
        <v>2000</v>
      </c>
      <c r="G178" s="5" t="s">
        <v>2030</v>
      </c>
      <c r="H178" s="18"/>
    </row>
    <row r="179" spans="1:8" ht="15.95" customHeight="1">
      <c r="A179" s="5">
        <v>175</v>
      </c>
      <c r="B179" s="17" t="str">
        <f>HYPERLINK("https://aacb.eventsair.com/hgsa-47th-annual-scientific-meeting/scientific-program","2024 - 47th Annual Scientific Meeting of Human Genetics Society of Australasia")</f>
        <v>2024 - 47th Annual Scientific Meeting of Human Genetics Society of Australasia</v>
      </c>
      <c r="C179" s="47" t="s">
        <v>15</v>
      </c>
      <c r="D179" s="18" t="s">
        <v>162</v>
      </c>
      <c r="E179" s="18" t="s">
        <v>1822</v>
      </c>
      <c r="F179" s="17" t="s">
        <v>1996</v>
      </c>
      <c r="G179" s="5" t="s">
        <v>2030</v>
      </c>
      <c r="H179" s="18"/>
    </row>
    <row r="180" spans="1:8" ht="15.95" customHeight="1">
      <c r="A180" s="5">
        <v>176</v>
      </c>
      <c r="B180" s="17" t="str">
        <f>HYPERLINK("https://aacb.eventsair.com/hgsa-45th-annual-scientific-meeting/scientific-program","2022 - 45th Annual Scientific Meeting of Human Genetics Society of Australasia")</f>
        <v>2022 - 45th Annual Scientific Meeting of Human Genetics Society of Australasia</v>
      </c>
      <c r="C180" s="47" t="s">
        <v>15</v>
      </c>
      <c r="D180" s="18" t="s">
        <v>162</v>
      </c>
      <c r="E180" s="18" t="s">
        <v>1822</v>
      </c>
      <c r="F180" s="17" t="s">
        <v>1997</v>
      </c>
      <c r="G180" s="5" t="s">
        <v>2030</v>
      </c>
      <c r="H180" s="18"/>
    </row>
    <row r="181" spans="1:8" ht="15.95" customHeight="1">
      <c r="A181" s="5">
        <v>177</v>
      </c>
      <c r="B181" s="17" t="str">
        <f>HYPERLINK("https://aacb.eventsair.com/hgsa-44th-annual-scientific-meeting/scientific-program","2021 - 44th Annual Scientific Meeting of Human Genetics Society of Australasia")</f>
        <v>2021 - 44th Annual Scientific Meeting of Human Genetics Society of Australasia</v>
      </c>
      <c r="C181" s="47" t="s">
        <v>15</v>
      </c>
      <c r="D181" s="18" t="s">
        <v>162</v>
      </c>
      <c r="E181" s="18" t="s">
        <v>1822</v>
      </c>
      <c r="F181" s="17" t="s">
        <v>1998</v>
      </c>
      <c r="G181" s="5" t="s">
        <v>2030</v>
      </c>
      <c r="H181" s="18"/>
    </row>
    <row r="182" spans="1:8" ht="15.95" customHeight="1">
      <c r="A182" s="5">
        <v>178</v>
      </c>
      <c r="B182" s="17" t="str">
        <f>HYPERLINK("https://mailchi.mp/e1b5c0982a14/national-conference-wrap","2024 - National Conference of the Immune Deficiencies Foundation Australia")</f>
        <v>2024 - National Conference of the Immune Deficiencies Foundation Australia</v>
      </c>
      <c r="C182" s="47" t="s">
        <v>15</v>
      </c>
      <c r="D182" s="18" t="s">
        <v>162</v>
      </c>
      <c r="E182" s="18" t="s">
        <v>297</v>
      </c>
      <c r="F182" s="17" t="s">
        <v>982</v>
      </c>
      <c r="G182" s="5">
        <v>2</v>
      </c>
      <c r="H182" s="18"/>
    </row>
    <row r="183" spans="1:8" ht="15.95" customHeight="1">
      <c r="A183" s="5">
        <v>179</v>
      </c>
      <c r="B183" s="17" t="str">
        <f>HYPERLINK("https://conasmar2024.com.br/programa/CONASMAR2024_Programa_Oficial_v08.pdf","2024 - National Congress on Asthma and Respiratory Allergy of the Brazilian Association of Allergy and Immunology")</f>
        <v>2024 - National Congress on Asthma and Respiratory Allergy of the Brazilian Association of Allergy and Immunology</v>
      </c>
      <c r="C183" s="47" t="s">
        <v>15</v>
      </c>
      <c r="D183" s="18" t="s">
        <v>276</v>
      </c>
      <c r="E183" s="18" t="s">
        <v>436</v>
      </c>
      <c r="F183" s="17" t="s">
        <v>1036</v>
      </c>
      <c r="G183" s="5">
        <v>3</v>
      </c>
      <c r="H183" s="18"/>
    </row>
    <row r="184" spans="1:8" ht="15.95" customHeight="1">
      <c r="A184" s="5">
        <v>180</v>
      </c>
      <c r="B184" s="17" t="str">
        <f>HYPERLINK("https://asbai.org.br/wp-content/uploads/2024/06/Programacao_BRAGID-2024.pdf","2024 - Annual Meeting of Brazilian Group of Immunodeficiencies")</f>
        <v>2024 - Annual Meeting of Brazilian Group of Immunodeficiencies</v>
      </c>
      <c r="C184" s="47" t="s">
        <v>15</v>
      </c>
      <c r="D184" s="18" t="s">
        <v>276</v>
      </c>
      <c r="E184" s="18" t="s">
        <v>372</v>
      </c>
      <c r="F184" s="17" t="s">
        <v>1093</v>
      </c>
      <c r="G184" s="5">
        <v>2</v>
      </c>
      <c r="H184" s="18"/>
    </row>
    <row r="185" spans="1:8" ht="15.95" customHeight="1">
      <c r="A185" s="5">
        <v>181</v>
      </c>
      <c r="B185" s="17" t="str">
        <f>HYPERLINK("https://sbg.org.br/eventos/genetica2024/programacao","2024 - 69th Brazilian Congress of Genetics")</f>
        <v>2024 - 69th Brazilian Congress of Genetics</v>
      </c>
      <c r="C185" s="47" t="s">
        <v>15</v>
      </c>
      <c r="D185" s="18" t="s">
        <v>276</v>
      </c>
      <c r="E185" s="18" t="s">
        <v>1832</v>
      </c>
      <c r="F185" s="17" t="s">
        <v>2009</v>
      </c>
      <c r="G185" s="5" t="s">
        <v>2030</v>
      </c>
      <c r="H185" s="18"/>
    </row>
    <row r="186" spans="1:8" ht="15.95" customHeight="1">
      <c r="A186" s="5">
        <v>182</v>
      </c>
      <c r="B186" s="17" t="str">
        <f>HYPERLINK("https://sbg.org.br/eventos/genetica2023/files/programafinal01.pdf","2023 - 68th Brazilian Congress of Genetics")</f>
        <v>2023 - 68th Brazilian Congress of Genetics</v>
      </c>
      <c r="C186" s="47" t="s">
        <v>15</v>
      </c>
      <c r="D186" s="18" t="s">
        <v>276</v>
      </c>
      <c r="E186" s="18" t="s">
        <v>1832</v>
      </c>
      <c r="F186" s="17" t="s">
        <v>2010</v>
      </c>
      <c r="G186" s="5" t="s">
        <v>2030</v>
      </c>
      <c r="H186" s="18"/>
    </row>
    <row r="187" spans="1:8" ht="15.95" customHeight="1">
      <c r="A187" s="5">
        <v>183</v>
      </c>
      <c r="B187" s="17" t="str">
        <f>HYPERLINK("https://www.sbg.org.br/admin/files/book/book_Ye2lDG6GZfx1.pdf","2022 - 67th Brazilian Congress of Genetics")</f>
        <v>2022 - 67th Brazilian Congress of Genetics</v>
      </c>
      <c r="C187" s="47" t="s">
        <v>15</v>
      </c>
      <c r="D187" s="18" t="s">
        <v>276</v>
      </c>
      <c r="E187" s="18" t="s">
        <v>1832</v>
      </c>
      <c r="F187" s="17" t="s">
        <v>2011</v>
      </c>
      <c r="G187" s="5" t="s">
        <v>2030</v>
      </c>
      <c r="H187" s="18"/>
    </row>
    <row r="188" spans="1:8" ht="15.95" customHeight="1">
      <c r="A188" s="5">
        <v>184</v>
      </c>
      <c r="B188" s="17" t="str">
        <f>HYPERLINK("https://drive.google.com/file/d/1vLsWDD5MXx2cPoY7XE8PdxooooF-MA4g/view","2021 - 66th Brazilian Congress of Genetics")</f>
        <v>2021 - 66th Brazilian Congress of Genetics</v>
      </c>
      <c r="C188" s="47" t="s">
        <v>15</v>
      </c>
      <c r="D188" s="18" t="s">
        <v>276</v>
      </c>
      <c r="E188" s="18" t="s">
        <v>1832</v>
      </c>
      <c r="F188" s="17" t="s">
        <v>2012</v>
      </c>
      <c r="G188" s="5" t="s">
        <v>2030</v>
      </c>
      <c r="H188" s="18"/>
    </row>
    <row r="189" spans="1:8" ht="15.95" customHeight="1">
      <c r="A189" s="5">
        <v>185</v>
      </c>
      <c r="B189" s="17" t="str">
        <f>HYPERLINK("https://neuroimmuno2024.sbi.org.br/","2024 - XLVIII Congress of Brazilian Society of Immunology")</f>
        <v>2024 - XLVIII Congress of Brazilian Society of Immunology</v>
      </c>
      <c r="C189" s="47" t="s">
        <v>15</v>
      </c>
      <c r="D189" s="18" t="s">
        <v>276</v>
      </c>
      <c r="E189" s="18" t="s">
        <v>392</v>
      </c>
      <c r="F189" s="17" t="s">
        <v>936</v>
      </c>
      <c r="G189" s="5">
        <v>3</v>
      </c>
      <c r="H189" s="18"/>
    </row>
    <row r="190" spans="1:8" ht="15.95" customHeight="1">
      <c r="A190" s="5">
        <v>186</v>
      </c>
      <c r="B190" s="17" t="str">
        <f>HYPERLINK("https://immuno2023.sbi.org.br/wp-content/uploads/2023/09/SCIENTIFIC_PROGRAM_IMMUNO_2023_2609.pdf","2023 - XLVII Congress of Brazilian Society of Immunology")</f>
        <v>2023 - XLVII Congress of Brazilian Society of Immunology</v>
      </c>
      <c r="C190" s="47" t="s">
        <v>15</v>
      </c>
      <c r="D190" s="18" t="s">
        <v>276</v>
      </c>
      <c r="E190" s="18" t="s">
        <v>392</v>
      </c>
      <c r="F190" s="17" t="s">
        <v>937</v>
      </c>
      <c r="G190" s="5">
        <v>3</v>
      </c>
      <c r="H190" s="18"/>
    </row>
    <row r="191" spans="1:8" ht="15.95" customHeight="1">
      <c r="A191" s="5">
        <v>187</v>
      </c>
      <c r="B191" s="17" t="str">
        <f>HYPERLINK("https://congressos.sbi.org.br/immuno2022/storage/programa-final-220923.pdf","2022 - XLVI Congress of Brazilian Society of Immunology and XIII ESCI - Extra Section of Clinical Immunology")</f>
        <v>2022 - XLVI Congress of Brazilian Society of Immunology and XIII ESCI - Extra Section of Clinical Immunology</v>
      </c>
      <c r="C191" s="47" t="s">
        <v>15</v>
      </c>
      <c r="D191" s="18" t="s">
        <v>276</v>
      </c>
      <c r="E191" s="18" t="s">
        <v>392</v>
      </c>
      <c r="F191" s="17" t="s">
        <v>938</v>
      </c>
      <c r="G191" s="5">
        <v>3</v>
      </c>
      <c r="H191" s="18"/>
    </row>
    <row r="192" spans="1:8" ht="15.95" customHeight="1">
      <c r="A192" s="5">
        <v>188</v>
      </c>
      <c r="B192" s="17" t="str">
        <f>HYPERLINK("https://www.kongreuzmani.com/45-annual-meeting-of-the-brazilian-society-for-immunology-immuno-2020.html","2021 - 45th Congress of Brazilian Society of Immunology")</f>
        <v>2021 - 45th Congress of Brazilian Society of Immunology</v>
      </c>
      <c r="C192" s="47" t="s">
        <v>15</v>
      </c>
      <c r="D192" s="18" t="s">
        <v>276</v>
      </c>
      <c r="E192" s="18" t="s">
        <v>392</v>
      </c>
      <c r="F192" s="17" t="s">
        <v>939</v>
      </c>
      <c r="G192" s="5">
        <v>3</v>
      </c>
      <c r="H192" s="18"/>
    </row>
    <row r="193" spans="1:8" ht="15.95" customHeight="1">
      <c r="A193" s="5">
        <v>189</v>
      </c>
      <c r="B193" s="17" t="str">
        <f>HYPERLINK("https://cbgm2024.com.br/programa.asp","2024 - XXXV Brazilian Congress of Medical Genetics")</f>
        <v>2024 - XXXV Brazilian Congress of Medical Genetics</v>
      </c>
      <c r="C193" s="47" t="s">
        <v>15</v>
      </c>
      <c r="D193" s="18" t="s">
        <v>276</v>
      </c>
      <c r="E193" s="18" t="s">
        <v>1811</v>
      </c>
      <c r="F193" s="17" t="s">
        <v>1919</v>
      </c>
      <c r="G193" s="5" t="s">
        <v>2030</v>
      </c>
      <c r="H193" s="18"/>
    </row>
    <row r="194" spans="1:8" ht="15.95" customHeight="1">
      <c r="A194" s="5">
        <v>190</v>
      </c>
      <c r="B194" s="17" t="str">
        <f>HYPERLINK("https://www.sbgm.org.br/Uploads/ChDFhvs6iv_19_10_2022-16_27_39_79.pdf","2022 - XXXIII Brazilian Congress of Medical Genetics")</f>
        <v>2022 - XXXIII Brazilian Congress of Medical Genetics</v>
      </c>
      <c r="C194" s="47" t="s">
        <v>15</v>
      </c>
      <c r="D194" s="18" t="s">
        <v>276</v>
      </c>
      <c r="E194" s="18" t="s">
        <v>1811</v>
      </c>
      <c r="F194" s="17" t="s">
        <v>1922</v>
      </c>
      <c r="G194" s="5" t="s">
        <v>2030</v>
      </c>
      <c r="H194" s="18"/>
    </row>
    <row r="195" spans="1:8" ht="15.95" customHeight="1">
      <c r="A195" s="5">
        <v>191</v>
      </c>
      <c r="B195" s="17" t="str">
        <f>HYPERLINK("https://www.sbgm.org.br/Uploads/M5T3KBFmI2_05_07_2021-15_21_49_26.pdf","2021 - XXXII Brazilian Congress of Medical Genetics")</f>
        <v>2021 - XXXII Brazilian Congress of Medical Genetics</v>
      </c>
      <c r="C195" s="47" t="s">
        <v>15</v>
      </c>
      <c r="D195" s="18" t="s">
        <v>276</v>
      </c>
      <c r="E195" s="18" t="s">
        <v>1811</v>
      </c>
      <c r="F195" s="17" t="s">
        <v>1923</v>
      </c>
      <c r="G195" s="5" t="s">
        <v>2030</v>
      </c>
      <c r="H195" s="18"/>
    </row>
    <row r="196" spans="1:8" ht="15.95" customHeight="1">
      <c r="A196" s="5">
        <v>192</v>
      </c>
      <c r="B196" s="17" t="str">
        <f>HYPERLINK("https://www.sbgm.org.br/Uploads/xk93Mzjkg1_28_08_2023-09_17_52_69.pdf","2023 - XXXIV Brazilian Congress of Medical Genetics and 9th Congress of the Brazilian Society of Neonatal Screening and 7th Brazilian Congress of Nursing in Genetics and Genomics")</f>
        <v>2023 - XXXIV Brazilian Congress of Medical Genetics and 9th Congress of the Brazilian Society of Neonatal Screening and 7th Brazilian Congress of Nursing in Genetics and Genomics</v>
      </c>
      <c r="C196" s="47" t="s">
        <v>15</v>
      </c>
      <c r="D196" s="18" t="s">
        <v>276</v>
      </c>
      <c r="E196" s="18" t="s">
        <v>1920</v>
      </c>
      <c r="F196" s="17" t="s">
        <v>1921</v>
      </c>
      <c r="G196" s="5" t="s">
        <v>2030</v>
      </c>
      <c r="H196" s="18"/>
    </row>
    <row r="197" spans="1:8" ht="15.95" customHeight="1">
      <c r="A197" s="5">
        <v>193</v>
      </c>
      <c r="B197" s="17" t="str">
        <f>HYPERLINK("https://sbegg.org/viii-cbegg/","2024 - VIII Congress of the Brazilian Society of Nursing in Genetics and Genomics")</f>
        <v>2024 - VIII Congress of the Brazilian Society of Nursing in Genetics and Genomics</v>
      </c>
      <c r="C197" s="47" t="s">
        <v>15</v>
      </c>
      <c r="D197" s="18" t="s">
        <v>276</v>
      </c>
      <c r="E197" s="18" t="s">
        <v>1813</v>
      </c>
      <c r="F197" s="17" t="s">
        <v>1946</v>
      </c>
      <c r="G197" s="5" t="s">
        <v>2030</v>
      </c>
      <c r="H197" s="18"/>
    </row>
    <row r="198" spans="1:8" ht="15.95" customHeight="1">
      <c r="A198" s="5">
        <v>194</v>
      </c>
      <c r="B198" s="17" t="str">
        <f>HYPERLINK("https://sbegg.org/vem-ai-estamos-chegando-perto-do-vii-cbegg/","2023 - VII Congress of the Brazilian Society of Nursing in Genetics and Genomics")</f>
        <v>2023 - VII Congress of the Brazilian Society of Nursing in Genetics and Genomics</v>
      </c>
      <c r="C198" s="47" t="s">
        <v>15</v>
      </c>
      <c r="D198" s="18" t="s">
        <v>276</v>
      </c>
      <c r="E198" s="18" t="s">
        <v>1813</v>
      </c>
      <c r="F198" s="17" t="s">
        <v>1947</v>
      </c>
      <c r="G198" s="5" t="s">
        <v>2030</v>
      </c>
      <c r="H198" s="18"/>
    </row>
    <row r="199" spans="1:8" ht="15.95" customHeight="1">
      <c r="A199" s="5">
        <v>195</v>
      </c>
      <c r="B199" s="17" t="str">
        <f>HYPERLINK("https://www.raredisorders.ca/events/upcoming-events/fall-2024-rare-disease-conference","2024 - Annual Fall Conference of Canadian Organization for Rare Disorders")</f>
        <v>2024 - Annual Fall Conference of Canadian Organization for Rare Disorders</v>
      </c>
      <c r="C199" s="47" t="s">
        <v>15</v>
      </c>
      <c r="D199" s="18" t="s">
        <v>23</v>
      </c>
      <c r="E199" s="18" t="s">
        <v>327</v>
      </c>
      <c r="F199" s="17" t="s">
        <v>1068</v>
      </c>
      <c r="G199" s="5" t="s">
        <v>2031</v>
      </c>
      <c r="H199" s="18"/>
    </row>
    <row r="200" spans="1:8" ht="15.95" customHeight="1">
      <c r="A200" s="5">
        <v>196</v>
      </c>
      <c r="B200" s="17" t="str">
        <f>HYPERLINK("https://www.raredisorders.ca/uploads/Documents/CORD-Nov-Conf-Agenda-Nov-2023-FINALweb.pdf","2023 - Annual Fall Conference of Canadian Organization for Rare Disorders")</f>
        <v>2023 - Annual Fall Conference of Canadian Organization for Rare Disorders</v>
      </c>
      <c r="C200" s="47" t="s">
        <v>15</v>
      </c>
      <c r="D200" s="18" t="s">
        <v>23</v>
      </c>
      <c r="E200" s="18" t="s">
        <v>327</v>
      </c>
      <c r="F200" s="17" t="s">
        <v>1069</v>
      </c>
      <c r="G200" s="5" t="s">
        <v>2031</v>
      </c>
      <c r="H200" s="18"/>
    </row>
    <row r="201" spans="1:8" ht="15.95" customHeight="1">
      <c r="A201" s="5">
        <v>197</v>
      </c>
      <c r="B201" s="17" t="str">
        <f>HYPERLINK("https://www.raredisorders.ca/uploads/Documents/CORD-Fall-Conference-Nov-2022-FINAL-Agenda_logosV2.pdf","2022 - Annual Fall Conference of Canadian Organization for Rare Disorders")</f>
        <v>2022 - Annual Fall Conference of Canadian Organization for Rare Disorders</v>
      </c>
      <c r="C201" s="47" t="s">
        <v>15</v>
      </c>
      <c r="D201" s="18" t="s">
        <v>23</v>
      </c>
      <c r="E201" s="18" t="s">
        <v>327</v>
      </c>
      <c r="F201" s="17" t="s">
        <v>1070</v>
      </c>
      <c r="G201" s="5" t="s">
        <v>2031</v>
      </c>
      <c r="H201" s="18"/>
    </row>
    <row r="202" spans="1:8" ht="15.95" customHeight="1">
      <c r="A202" s="5">
        <v>198</v>
      </c>
      <c r="B202" s="17" t="str">
        <f>HYPERLINK("https://www.raredisorders.ca/uploads/Documents/CORD-Fall-2021-Conference-Agenda-FINAL-1.pdf","2021 - Annual Fall Conference of Canadian Organization for Rare Disorders")</f>
        <v>2021 - Annual Fall Conference of Canadian Organization for Rare Disorders</v>
      </c>
      <c r="C202" s="47" t="s">
        <v>15</v>
      </c>
      <c r="D202" s="18" t="s">
        <v>23</v>
      </c>
      <c r="E202" s="18" t="s">
        <v>327</v>
      </c>
      <c r="F202" s="17" t="s">
        <v>1071</v>
      </c>
      <c r="G202" s="5" t="s">
        <v>2031</v>
      </c>
      <c r="H202" s="18"/>
    </row>
    <row r="203" spans="1:8" ht="15.95" customHeight="1">
      <c r="A203" s="5">
        <v>199</v>
      </c>
      <c r="B203" s="17" t="str">
        <f>HYPERLINK("https://www.stemcellsciencenews.com/event/36th-annual-csi-conference/","2024 - 36th Annual Spring Meeting of the Canadian Society for Immunology")</f>
        <v>2024 - 36th Annual Spring Meeting of the Canadian Society for Immunology</v>
      </c>
      <c r="C203" s="47" t="s">
        <v>15</v>
      </c>
      <c r="D203" s="18" t="s">
        <v>23</v>
      </c>
      <c r="E203" s="18" t="s">
        <v>395</v>
      </c>
      <c r="F203" s="17" t="s">
        <v>940</v>
      </c>
      <c r="G203" s="5">
        <v>3</v>
      </c>
      <c r="H203" s="18"/>
    </row>
    <row r="204" spans="1:8" ht="15.95" customHeight="1">
      <c r="A204" s="5">
        <v>200</v>
      </c>
      <c r="B204" s="17" t="str">
        <f>HYPERLINK("https://www.csi-sci.ca/_Library/_documents/FINAL-PROGRAM-_2023.pdf","2023 - 35th Annual Spring Meeting of the Canadian Society for Immunology")</f>
        <v>2023 - 35th Annual Spring Meeting of the Canadian Society for Immunology</v>
      </c>
      <c r="C204" s="47" t="s">
        <v>15</v>
      </c>
      <c r="D204" s="18" t="s">
        <v>23</v>
      </c>
      <c r="E204" s="18" t="s">
        <v>395</v>
      </c>
      <c r="F204" s="17" t="s">
        <v>941</v>
      </c>
      <c r="G204" s="5">
        <v>3</v>
      </c>
      <c r="H204" s="18"/>
    </row>
    <row r="205" spans="1:8" ht="15.95" customHeight="1">
      <c r="A205" s="5">
        <v>201</v>
      </c>
      <c r="B205" s="17" t="str">
        <f>HYPERLINK("https://www.csi-sci.ca/_Library/_documents/CSI_Program_at_a_Glance-final.pdf","2022 - 34th Annual Spring Meeting of the Canadian Society for Immunology")</f>
        <v>2022 - 34th Annual Spring Meeting of the Canadian Society for Immunology</v>
      </c>
      <c r="C205" s="47" t="s">
        <v>15</v>
      </c>
      <c r="D205" s="18" t="s">
        <v>23</v>
      </c>
      <c r="E205" s="18" t="s">
        <v>395</v>
      </c>
      <c r="F205" s="17" t="s">
        <v>942</v>
      </c>
      <c r="G205" s="5">
        <v>3</v>
      </c>
      <c r="H205" s="18"/>
    </row>
    <row r="206" spans="1:8" ht="15.95" customHeight="1">
      <c r="A206" s="5">
        <v>202</v>
      </c>
      <c r="B206" s="17" t="str">
        <f>HYPERLINK("https://www.csi-sci.ca/_Library/_documents/ProgramDetail33rdCSI_Virtual_Conference.pdf","2021 - 33rd Annual Spring Meeting of the Canadian Society for Immunology")</f>
        <v>2021 - 33rd Annual Spring Meeting of the Canadian Society for Immunology</v>
      </c>
      <c r="C206" s="47" t="s">
        <v>15</v>
      </c>
      <c r="D206" s="18" t="s">
        <v>23</v>
      </c>
      <c r="E206" s="18" t="s">
        <v>395</v>
      </c>
      <c r="F206" s="17" t="s">
        <v>943</v>
      </c>
      <c r="G206" s="5">
        <v>3</v>
      </c>
      <c r="H206" s="18"/>
    </row>
    <row r="207" spans="1:8" ht="15.95" customHeight="1">
      <c r="A207" s="5">
        <v>203</v>
      </c>
      <c r="B207" s="17" t="str">
        <f>HYPERLINK("https://site.pheedloop.com/event/ASM2024/schedule","2024 - Annual Scientific Meeting of Canadian Society of Allergy and Clinical Immunology")</f>
        <v>2024 - Annual Scientific Meeting of Canadian Society of Allergy and Clinical Immunology</v>
      </c>
      <c r="C207" s="47" t="s">
        <v>15</v>
      </c>
      <c r="D207" s="18" t="s">
        <v>23</v>
      </c>
      <c r="E207" s="18" t="s">
        <v>438</v>
      </c>
      <c r="F207" s="17" t="s">
        <v>1173</v>
      </c>
      <c r="G207" s="5">
        <v>3</v>
      </c>
      <c r="H207" s="18"/>
    </row>
    <row r="208" spans="1:8" ht="15.95" customHeight="1">
      <c r="A208" s="5">
        <v>204</v>
      </c>
      <c r="B208" s="17" t="str">
        <f>HYPERLINK("https://www.emedevents.com/medical-hybrid-events-2023/78th-annual-canadian-society-of-allergy-and-clinical-immunology-csaci-scientific-meeting-2023","2023 - Annual Scientific Meeting of Canadian Society of Allergy and Clinical Immunology")</f>
        <v>2023 - Annual Scientific Meeting of Canadian Society of Allergy and Clinical Immunology</v>
      </c>
      <c r="C208" s="47" t="s">
        <v>15</v>
      </c>
      <c r="D208" s="18" t="s">
        <v>23</v>
      </c>
      <c r="E208" s="18" t="s">
        <v>438</v>
      </c>
      <c r="F208" s="17" t="s">
        <v>1174</v>
      </c>
      <c r="G208" s="5">
        <v>3</v>
      </c>
      <c r="H208" s="18"/>
    </row>
    <row r="209" spans="1:8" ht="15.95" customHeight="1">
      <c r="A209" s="5">
        <v>205</v>
      </c>
      <c r="B209" s="17" t="str">
        <f>HYPERLINK("https://www.emedevents.com/c/medical-conferences-2022/77th-annual-canadian-society-of-allergy-and-clinical-immunology-csaci-scientific-meeting","2022 - Annual Scientific Meeting of Canadian Society of Allergy and Clinical Immunology")</f>
        <v>2022 - Annual Scientific Meeting of Canadian Society of Allergy and Clinical Immunology</v>
      </c>
      <c r="C209" s="47" t="s">
        <v>15</v>
      </c>
      <c r="D209" s="18" t="s">
        <v>23</v>
      </c>
      <c r="E209" s="18" t="s">
        <v>438</v>
      </c>
      <c r="F209" s="17" t="s">
        <v>1175</v>
      </c>
      <c r="G209" s="5">
        <v>3</v>
      </c>
      <c r="H209" s="18"/>
    </row>
    <row r="210" spans="1:8" ht="15.95" customHeight="1">
      <c r="A210" s="5">
        <v>206</v>
      </c>
      <c r="B210" s="17" t="str">
        <f>HYPERLINK("https://www.emedevents.com/online-cme-courses/live-webinar/76th-annual-canadian-society-of-allergy-and-clinical-immunology-csaci-scientific-virtual-meeting","2021 - Annual Scientific Meeting of Canadian Society of Allergy and Clinical Immunology")</f>
        <v>2021 - Annual Scientific Meeting of Canadian Society of Allergy and Clinical Immunology</v>
      </c>
      <c r="C210" s="47" t="s">
        <v>15</v>
      </c>
      <c r="D210" s="18" t="s">
        <v>23</v>
      </c>
      <c r="E210" s="18" t="s">
        <v>438</v>
      </c>
      <c r="F210" s="17" t="s">
        <v>1176</v>
      </c>
      <c r="G210" s="5">
        <v>3</v>
      </c>
      <c r="H210" s="18"/>
    </row>
    <row r="211" spans="1:8" ht="15.95" customHeight="1">
      <c r="A211" s="5">
        <v>207</v>
      </c>
      <c r="B211" s="17" t="str">
        <f>HYPERLINK("https://www.emedevents.com/c/medical-conferences-2020/canadian-society-of-allergy-and-clinical-immunology-csaci-annual-scientific-meeting-2020","2020 - Annual Scientific Meeting of Canadian Society of Allergy and Clinical Immunology")</f>
        <v>2020 - Annual Scientific Meeting of Canadian Society of Allergy and Clinical Immunology</v>
      </c>
      <c r="C211" s="47" t="s">
        <v>15</v>
      </c>
      <c r="D211" s="18" t="s">
        <v>23</v>
      </c>
      <c r="E211" s="18" t="s">
        <v>438</v>
      </c>
      <c r="F211" s="17" t="s">
        <v>1177</v>
      </c>
      <c r="G211" s="5">
        <v>3</v>
      </c>
      <c r="H211" s="18"/>
    </row>
    <row r="212" spans="1:8" ht="15.95" customHeight="1">
      <c r="A212" s="5">
        <v>208</v>
      </c>
      <c r="B212" s="17" t="str">
        <f>HYPERLINK("https://congresoacaai.com/wp-content/uploads/2023/09/Programa-Congreso-Completo.pdf","2023 - XIV Congress of the Colombian Association of Allergy, Asthma and Immunology (ACAAI) and the VI Meeting of the Colombian Association of Immunology (ACOI)")</f>
        <v>2023 - XIV Congress of the Colombian Association of Allergy, Asthma and Immunology (ACAAI) and the VI Meeting of the Colombian Association of Immunology (ACOI)</v>
      </c>
      <c r="C212" s="47" t="s">
        <v>15</v>
      </c>
      <c r="D212" s="18" t="s">
        <v>280</v>
      </c>
      <c r="E212" s="18" t="s">
        <v>440</v>
      </c>
      <c r="F212" s="17" t="s">
        <v>958</v>
      </c>
      <c r="G212" s="5">
        <v>3</v>
      </c>
      <c r="H212" s="18"/>
    </row>
    <row r="213" spans="1:8" ht="15.95" customHeight="1">
      <c r="A213" s="5">
        <v>209</v>
      </c>
      <c r="B213" s="17" t="str">
        <f>HYPERLINK("https://congresoacaai.com/home/","2021 - XIII Congress of the Colombian Association of Allergy, Asthma and Immunology (ACAAI) and the V Meeting of the Colombian Association of Immunology (ACOI)")</f>
        <v>2021 - XIII Congress of the Colombian Association of Allergy, Asthma and Immunology (ACAAI) and the V Meeting of the Colombian Association of Immunology (ACOI)</v>
      </c>
      <c r="C213" s="47" t="s">
        <v>15</v>
      </c>
      <c r="D213" s="18" t="s">
        <v>280</v>
      </c>
      <c r="E213" s="18" t="s">
        <v>440</v>
      </c>
      <c r="F213" s="17" t="s">
        <v>959</v>
      </c>
      <c r="G213" s="5">
        <v>3</v>
      </c>
      <c r="H213" s="18"/>
    </row>
    <row r="214" spans="1:8" ht="15.95" customHeight="1">
      <c r="A214" s="5">
        <v>210</v>
      </c>
      <c r="B214" s="17" t="str">
        <f>HYPERLINK("https://congresoceii.com/wp-content/uploads/2024/08/14_Programacion-academica-CCEII-rev.-14-08-Ago-2024.pdf","2024 - II Colombian Congress on Innate Errors of Immunity")</f>
        <v>2024 - II Colombian Congress on Innate Errors of Immunity</v>
      </c>
      <c r="C214" s="47" t="s">
        <v>15</v>
      </c>
      <c r="D214" s="18" t="s">
        <v>280</v>
      </c>
      <c r="E214" s="18" t="s">
        <v>397</v>
      </c>
      <c r="F214" s="17" t="s">
        <v>1020</v>
      </c>
      <c r="G214" s="5">
        <v>1</v>
      </c>
      <c r="H214" s="18"/>
    </row>
    <row r="215" spans="1:8" ht="15.95" customHeight="1">
      <c r="A215" s="5">
        <v>211</v>
      </c>
      <c r="B215" s="17" t="str">
        <f>HYPERLINK("https://fondation-maladiesrares.org/wp-content/uploads/2024/06/Brochure-Colloque-2024-2.pdf","2024 - Annual Scientific Symposium on Foundation for Rare Diseases")</f>
        <v>2024 - Annual Scientific Symposium on Foundation for Rare Diseases</v>
      </c>
      <c r="C215" s="47" t="s">
        <v>15</v>
      </c>
      <c r="D215" s="18" t="s">
        <v>88</v>
      </c>
      <c r="E215" s="18" t="s">
        <v>486</v>
      </c>
      <c r="F215" s="17" t="s">
        <v>1126</v>
      </c>
      <c r="G215" s="5" t="s">
        <v>2031</v>
      </c>
      <c r="H215" s="18"/>
    </row>
    <row r="216" spans="1:8" ht="15.95" customHeight="1">
      <c r="A216" s="5">
        <v>212</v>
      </c>
      <c r="B216" s="17" t="str">
        <f>HYPERLINK("https://fondation-maladiesrares.org/wp-content/uploads/2023/06/Programme-colloque-2023-5.pdf","2023 - Annual Scientific Symposium on Foundation for Rare Diseases")</f>
        <v>2023 - Annual Scientific Symposium on Foundation for Rare Diseases</v>
      </c>
      <c r="C216" s="47" t="s">
        <v>15</v>
      </c>
      <c r="D216" s="18" t="s">
        <v>88</v>
      </c>
      <c r="E216" s="18" t="s">
        <v>486</v>
      </c>
      <c r="F216" s="17" t="s">
        <v>1127</v>
      </c>
      <c r="G216" s="5" t="s">
        <v>2031</v>
      </c>
      <c r="H216" s="18"/>
    </row>
    <row r="217" spans="1:8" ht="15.95" customHeight="1">
      <c r="A217" s="5">
        <v>213</v>
      </c>
      <c r="B217" s="17" t="str">
        <f>HYPERLINK("https://fondation-maladiesrares.org/en/evenement/colloque-scientifique-national-2022-2/","2022 - Annual Scientific Symposium on Foundation for Rare Diseases")</f>
        <v>2022 - Annual Scientific Symposium on Foundation for Rare Diseases</v>
      </c>
      <c r="C217" s="47" t="s">
        <v>15</v>
      </c>
      <c r="D217" s="18" t="s">
        <v>88</v>
      </c>
      <c r="E217" s="18" t="s">
        <v>486</v>
      </c>
      <c r="F217" s="17" t="s">
        <v>1128</v>
      </c>
      <c r="G217" s="5" t="s">
        <v>2031</v>
      </c>
      <c r="H217" s="18"/>
    </row>
    <row r="218" spans="1:8" ht="15.95" customHeight="1">
      <c r="A218" s="5">
        <v>214</v>
      </c>
      <c r="B218" s="17" t="str">
        <f>HYPERLINK("https://fondation-maladiesrares.org/en/evenement/colloque-scientifique-2021/","2021 - Annual Scientific Symposium on Foundation for Rare Diseases")</f>
        <v>2021 - Annual Scientific Symposium on Foundation for Rare Diseases</v>
      </c>
      <c r="C218" s="47" t="s">
        <v>15</v>
      </c>
      <c r="D218" s="18" t="s">
        <v>88</v>
      </c>
      <c r="E218" s="18" t="s">
        <v>486</v>
      </c>
      <c r="F218" s="17" t="s">
        <v>1129</v>
      </c>
      <c r="G218" s="5" t="s">
        <v>2031</v>
      </c>
      <c r="H218" s="18"/>
    </row>
    <row r="219" spans="1:8" ht="15.95" customHeight="1">
      <c r="A219" s="5">
        <v>215</v>
      </c>
      <c r="B219" s="17" t="str">
        <f>HYPERLINK("https://fondation-maladiesrares.org/en/evenement/colloque-scientifique-2020/","2020 - Annual Scientific Symposium on Foundation for Rare Diseases")</f>
        <v>2020 - Annual Scientific Symposium on Foundation for Rare Diseases</v>
      </c>
      <c r="C219" s="47" t="s">
        <v>15</v>
      </c>
      <c r="D219" s="18" t="s">
        <v>88</v>
      </c>
      <c r="E219" s="18" t="s">
        <v>486</v>
      </c>
      <c r="F219" s="17" t="s">
        <v>1130</v>
      </c>
      <c r="G219" s="5" t="s">
        <v>2031</v>
      </c>
      <c r="H219" s="18"/>
    </row>
    <row r="220" spans="1:8" ht="15.95" customHeight="1">
      <c r="A220" s="5">
        <v>216</v>
      </c>
      <c r="B220" s="17" t="str">
        <f>HYPERLINK("https://alliance-maladies-rares.org/wp-content/uploads/2024/05/Programme-Congres-2024-Officiel.pdf","2024 - 5th Alliance Congress of the Rare Diseases Alliance")</f>
        <v>2024 - 5th Alliance Congress of the Rare Diseases Alliance</v>
      </c>
      <c r="C220" s="47" t="s">
        <v>15</v>
      </c>
      <c r="D220" s="18" t="s">
        <v>88</v>
      </c>
      <c r="E220" s="18" t="s">
        <v>335</v>
      </c>
      <c r="F220" s="17" t="s">
        <v>1002</v>
      </c>
      <c r="G220" s="5" t="s">
        <v>2031</v>
      </c>
      <c r="H220" s="18"/>
    </row>
    <row r="221" spans="1:8" ht="15.95" customHeight="1">
      <c r="A221" s="5">
        <v>217</v>
      </c>
      <c r="B221" s="17" t="str">
        <f>HYPERLINK("https://alliance-maladies-rares.org/wp-content/uploads/2023/05/AMR_PROGRAMME_CONGRES-1.pdf","2023 - 4th Alliance Congress of the Rare Diseases Alliance")</f>
        <v>2023 - 4th Alliance Congress of the Rare Diseases Alliance</v>
      </c>
      <c r="C221" s="47" t="s">
        <v>15</v>
      </c>
      <c r="D221" s="18" t="s">
        <v>88</v>
      </c>
      <c r="E221" s="18" t="s">
        <v>335</v>
      </c>
      <c r="F221" s="17" t="s">
        <v>1003</v>
      </c>
      <c r="G221" s="5" t="s">
        <v>2031</v>
      </c>
      <c r="H221" s="18"/>
    </row>
    <row r="222" spans="1:8" ht="15.95" customHeight="1">
      <c r="A222" s="5">
        <v>218</v>
      </c>
      <c r="B222" s="17" t="str">
        <f>HYPERLINK("https://alliance-maladies-rares.org/wp-content/uploads/2022/06/Programme-congre%CC%80s-2022-Officiel.pdf","2022 - 3rd Alliance Congress of the Rare Diseases Alliance")</f>
        <v>2022 - 3rd Alliance Congress of the Rare Diseases Alliance</v>
      </c>
      <c r="C222" s="47" t="s">
        <v>15</v>
      </c>
      <c r="D222" s="18" t="s">
        <v>88</v>
      </c>
      <c r="E222" s="18" t="s">
        <v>335</v>
      </c>
      <c r="F222" s="17" t="s">
        <v>1004</v>
      </c>
      <c r="G222" s="5" t="s">
        <v>2031</v>
      </c>
      <c r="H222" s="18"/>
    </row>
    <row r="223" spans="1:8" ht="15.95" customHeight="1">
      <c r="A223" s="5">
        <v>219</v>
      </c>
      <c r="B223" s="17" t="str">
        <f>HYPERLINK("https://alliance-maladies-rares.org/wp-content/uploads/2021/06/programme-congres-Alliance-maladies-rares-040621.pdf","2021 - 2nd Alliance Congress of the Rare Diseases Alliance")</f>
        <v>2021 - 2nd Alliance Congress of the Rare Diseases Alliance</v>
      </c>
      <c r="C223" s="47" t="s">
        <v>15</v>
      </c>
      <c r="D223" s="18" t="s">
        <v>88</v>
      </c>
      <c r="E223" s="18" t="s">
        <v>335</v>
      </c>
      <c r="F223" s="17" t="s">
        <v>1005</v>
      </c>
      <c r="G223" s="5" t="s">
        <v>2031</v>
      </c>
      <c r="H223" s="18"/>
    </row>
    <row r="224" spans="1:8" ht="15.95" customHeight="1">
      <c r="A224" s="5">
        <v>220</v>
      </c>
      <c r="B224" s="17" t="str">
        <f>HYPERLINK("https://alliance-maladies-rares.org/wp-content/uploads/2020/11/Alliance-maladies-rares-programme-congres-031120.pdf","2020 - 1st Alliance Congress of the Rare Diseases Alliance")</f>
        <v>2020 - 1st Alliance Congress of the Rare Diseases Alliance</v>
      </c>
      <c r="C224" s="47" t="s">
        <v>15</v>
      </c>
      <c r="D224" s="18" t="s">
        <v>88</v>
      </c>
      <c r="E224" s="18" t="s">
        <v>335</v>
      </c>
      <c r="F224" s="17" t="s">
        <v>1006</v>
      </c>
      <c r="G224" s="5" t="s">
        <v>2031</v>
      </c>
      <c r="H224" s="18"/>
    </row>
    <row r="225" spans="1:8" ht="15.95" customHeight="1">
      <c r="A225" s="5">
        <v>221</v>
      </c>
      <c r="B225" s="17" t="str">
        <f>HYPERLINK("https://www.achse-online.de/de/was_tut_ACHSE/nakse/PDF/Nakse2023-Programmheft-WEB.pdf","2023 - National Conference on Rare Diseases of the Alliance of Chronic Rare Diseases (ACHSE)")</f>
        <v>2023 - National Conference on Rare Diseases of the Alliance of Chronic Rare Diseases (ACHSE)</v>
      </c>
      <c r="C225" s="47" t="s">
        <v>15</v>
      </c>
      <c r="D225" s="18" t="s">
        <v>91</v>
      </c>
      <c r="E225" s="18" t="s">
        <v>337</v>
      </c>
      <c r="F225" s="17" t="s">
        <v>1007</v>
      </c>
      <c r="G225" s="5" t="s">
        <v>2031</v>
      </c>
      <c r="H225" s="18"/>
    </row>
    <row r="226" spans="1:8" ht="15.95" customHeight="1">
      <c r="A226" s="5">
        <v>222</v>
      </c>
      <c r="B226" s="17" t="str">
        <f>HYPERLINK("https://www.achse-online.de/de/was_tut_ACHSE/nakse/PDF/NAKSE2021-Programmheft_final.pdf","2021 - National Conference on Rare Diseases of the Alliance of Chronic Rare Diseases (ACHSE)")</f>
        <v>2021 - National Conference on Rare Diseases of the Alliance of Chronic Rare Diseases (ACHSE)</v>
      </c>
      <c r="C226" s="47" t="s">
        <v>15</v>
      </c>
      <c r="D226" s="18" t="s">
        <v>91</v>
      </c>
      <c r="E226" s="18" t="s">
        <v>337</v>
      </c>
      <c r="F226" s="17" t="s">
        <v>1008</v>
      </c>
      <c r="G226" s="5" t="s">
        <v>2031</v>
      </c>
      <c r="H226" s="18"/>
    </row>
    <row r="227" spans="1:8" ht="15.95" customHeight="1">
      <c r="A227" s="5">
        <v>223</v>
      </c>
      <c r="B227" s="17" t="str">
        <f>HYPERLINK("https://events.dak2024.smart-abstract.com/#/grid","2024 - 19th German Allergy Congress of the German Society for Allergology and Clinical Immunology (DGAKI)")</f>
        <v>2024 - 19th German Allergy Congress of the German Society for Allergology and Clinical Immunology (DGAKI)</v>
      </c>
      <c r="C227" s="47" t="s">
        <v>15</v>
      </c>
      <c r="D227" s="18" t="s">
        <v>91</v>
      </c>
      <c r="E227" s="18" t="s">
        <v>442</v>
      </c>
      <c r="F227" s="17" t="s">
        <v>960</v>
      </c>
      <c r="G227" s="5">
        <v>3</v>
      </c>
      <c r="H227" s="18"/>
    </row>
    <row r="228" spans="1:8" ht="15.95" customHeight="1">
      <c r="A228" s="5">
        <v>224</v>
      </c>
      <c r="B228" s="17" t="str">
        <f>HYPERLINK("https://allergiekongress.de/wp-content/uploads/2023/09/DAK23_Hauptprogramm_web_14_09_23.pdf","2023 - 18th German Allergy Congress of the German Society for Allergology and Clinical Immunology (DGAKI)")</f>
        <v>2023 - 18th German Allergy Congress of the German Society for Allergology and Clinical Immunology (DGAKI)</v>
      </c>
      <c r="C228" s="47" t="s">
        <v>15</v>
      </c>
      <c r="D228" s="18" t="s">
        <v>91</v>
      </c>
      <c r="E228" s="18" t="s">
        <v>442</v>
      </c>
      <c r="F228" s="17" t="s">
        <v>961</v>
      </c>
      <c r="G228" s="5">
        <v>3</v>
      </c>
      <c r="H228" s="18"/>
    </row>
    <row r="229" spans="1:8" ht="15.95" customHeight="1">
      <c r="A229" s="5">
        <v>225</v>
      </c>
      <c r="B229" s="17" t="str">
        <f>HYPERLINK("https://allergiekongress.de/wp-content/uploads/2022/09/DAK22_Hauptprogramm_web_04.pdf","2022 - 17th German Allergy Congress of the German Society for Allergology and Clinical Immunology (DGAKI)")</f>
        <v>2022 - 17th German Allergy Congress of the German Society for Allergology and Clinical Immunology (DGAKI)</v>
      </c>
      <c r="C229" s="47" t="s">
        <v>15</v>
      </c>
      <c r="D229" s="18" t="s">
        <v>91</v>
      </c>
      <c r="E229" s="18" t="s">
        <v>442</v>
      </c>
      <c r="F229" s="17" t="s">
        <v>962</v>
      </c>
      <c r="G229" s="5">
        <v>3</v>
      </c>
      <c r="H229" s="18"/>
    </row>
    <row r="230" spans="1:8" ht="15.95" customHeight="1">
      <c r="A230" s="5">
        <v>226</v>
      </c>
      <c r="B230" s="17" t="str">
        <f>HYPERLINK("https://allergiekongress.de/wp-content/uploads/2024/05/DAK21_Hauptprogramm_web_06.pdf","2021 - 16th German Allergy Congress of the German Society for Allergology and Clinical Immunology (DGAKI)")</f>
        <v>2021 - 16th German Allergy Congress of the German Society for Allergology and Clinical Immunology (DGAKI)</v>
      </c>
      <c r="C230" s="47" t="s">
        <v>15</v>
      </c>
      <c r="D230" s="18" t="s">
        <v>91</v>
      </c>
      <c r="E230" s="18" t="s">
        <v>442</v>
      </c>
      <c r="F230" s="17" t="s">
        <v>963</v>
      </c>
      <c r="G230" s="5">
        <v>3</v>
      </c>
      <c r="H230" s="18"/>
    </row>
    <row r="231" spans="1:8" ht="15.95" customHeight="1">
      <c r="A231" s="5">
        <v>227</v>
      </c>
      <c r="B231" s="17" t="str">
        <f>HYPERLINK("https://allergiekongress.de/wp-content/uploads/2020/09/DAK20_Hauptprogramm_web_04.pdf","2020 - 15th German Allergy Congress of the German Society for Allergology and Clinical Immunology (DGAKI)")</f>
        <v>2020 - 15th German Allergy Congress of the German Society for Allergology and Clinical Immunology (DGAKI)</v>
      </c>
      <c r="C231" s="47" t="s">
        <v>15</v>
      </c>
      <c r="D231" s="18" t="s">
        <v>91</v>
      </c>
      <c r="E231" s="18" t="s">
        <v>442</v>
      </c>
      <c r="F231" s="17" t="s">
        <v>964</v>
      </c>
      <c r="G231" s="5">
        <v>3</v>
      </c>
      <c r="H231" s="18"/>
    </row>
    <row r="232" spans="1:8" ht="15.95" customHeight="1">
      <c r="A232" s="5">
        <v>228</v>
      </c>
      <c r="B232" s="17" t="str">
        <f>HYPERLINK("https://immunology.fr/en/event/sfi-dgfi-joint-meeting/","2023 - Joint Meeting of SFI-DGfI Strasbourg")</f>
        <v>2023 - Joint Meeting of SFI-DGfI Strasbourg</v>
      </c>
      <c r="C232" s="47" t="s">
        <v>15</v>
      </c>
      <c r="D232" s="18" t="s">
        <v>91</v>
      </c>
      <c r="E232" s="18" t="s">
        <v>400</v>
      </c>
      <c r="F232" s="17" t="s">
        <v>1016</v>
      </c>
      <c r="G232" s="5">
        <v>3</v>
      </c>
      <c r="H232" s="18"/>
    </row>
    <row r="233" spans="1:8" ht="15.95" customHeight="1">
      <c r="A233" s="5">
        <v>229</v>
      </c>
      <c r="B233" s="17" t="str">
        <f>HYPERLINK("https://oegai.org/wp-content/uploads/2021/11/DGfI_2022_First-Ann-10-21.pdf","2022 - Joint Meeting of DGfI &amp; OGAI Hannover")</f>
        <v>2022 - Joint Meeting of DGfI &amp; OGAI Hannover</v>
      </c>
      <c r="C233" s="47" t="s">
        <v>15</v>
      </c>
      <c r="D233" s="18" t="s">
        <v>91</v>
      </c>
      <c r="E233" s="18" t="s">
        <v>400</v>
      </c>
      <c r="F233" s="17" t="s">
        <v>1017</v>
      </c>
      <c r="G233" s="5">
        <v>3</v>
      </c>
      <c r="H233" s="18"/>
    </row>
    <row r="234" spans="1:8" ht="15.95" customHeight="1">
      <c r="A234" s="5">
        <v>230</v>
      </c>
      <c r="B234" s="17" t="str">
        <f>HYPERLINK("https://gfh-tagung.gfhev.de/en/home.html","2023 - 34th Annual Meeting of the German Society of Human Genetics")</f>
        <v>2023 - 34th Annual Meeting of the German Society of Human Genetics</v>
      </c>
      <c r="C234" s="47" t="s">
        <v>15</v>
      </c>
      <c r="D234" s="18" t="s">
        <v>91</v>
      </c>
      <c r="E234" s="18" t="s">
        <v>1803</v>
      </c>
      <c r="F234" s="17" t="s">
        <v>1939</v>
      </c>
      <c r="G234" s="5" t="s">
        <v>2030</v>
      </c>
      <c r="H234" s="18"/>
    </row>
    <row r="235" spans="1:8" ht="15.95" customHeight="1">
      <c r="A235" s="5">
        <v>231</v>
      </c>
      <c r="B235" s="17" t="str">
        <f>HYPERLINK("https://www.kongress.de/veranstaltung/33_jahrestagung_der_deutschen_gesellschaft_fuer_humangenetik-62306045","2022 - 33rd Annual Meeting of the German Society of Human Genetics")</f>
        <v>2022 - 33rd Annual Meeting of the German Society of Human Genetics</v>
      </c>
      <c r="C235" s="47" t="s">
        <v>15</v>
      </c>
      <c r="D235" s="18" t="s">
        <v>91</v>
      </c>
      <c r="E235" s="18" t="s">
        <v>1803</v>
      </c>
      <c r="F235" s="17" t="s">
        <v>1940</v>
      </c>
      <c r="G235" s="5" t="s">
        <v>2030</v>
      </c>
      <c r="H235" s="18"/>
    </row>
    <row r="236" spans="1:8" ht="15.95" customHeight="1">
      <c r="A236" s="5">
        <v>232</v>
      </c>
      <c r="B236" s="17" t="str">
        <f>HYPERLINK("https://www.kongress.de/veranstaltung/32_jahrestagung_der_deutschen_gesellschaft_fuer_humangenetik-31207310","2021 - 32nd Annual Meeting of the German Society of Human Genetics")</f>
        <v>2021 - 32nd Annual Meeting of the German Society of Human Genetics</v>
      </c>
      <c r="C236" s="47" t="s">
        <v>15</v>
      </c>
      <c r="D236" s="18" t="s">
        <v>91</v>
      </c>
      <c r="E236" s="18" t="s">
        <v>1803</v>
      </c>
      <c r="F236" s="17" t="s">
        <v>1941</v>
      </c>
      <c r="G236" s="5" t="s">
        <v>2030</v>
      </c>
      <c r="H236" s="18"/>
    </row>
    <row r="237" spans="1:8" ht="15.95" customHeight="1">
      <c r="A237" s="5">
        <v>233</v>
      </c>
      <c r="B237" s="17" t="str">
        <f>HYPERLINK("https://siaaic2024.org/wp-content/uploads/2024/08/PROGRAMMA-SIAAIC-ROMA-2024.pdf","2024 - XXXVI National Congress of the Italian Society of Allergology, Asthma and Clinical Immunology (SIAAIC)")</f>
        <v>2024 - XXXVI National Congress of the Italian Society of Allergology, Asthma and Clinical Immunology (SIAAIC)</v>
      </c>
      <c r="C237" s="47" t="s">
        <v>15</v>
      </c>
      <c r="D237" s="18" t="s">
        <v>16</v>
      </c>
      <c r="E237" s="18" t="s">
        <v>444</v>
      </c>
      <c r="F237" s="17" t="s">
        <v>965</v>
      </c>
      <c r="G237" s="5">
        <v>3</v>
      </c>
      <c r="H237" s="18"/>
    </row>
    <row r="238" spans="1:8" ht="15.95" customHeight="1">
      <c r="A238" s="5">
        <v>234</v>
      </c>
      <c r="B238" s="17" t="str">
        <f>HYPERLINK("https://angioedemaitaca.org/wp-content/uploads/2023/10/03.10.23_Programma-SIAAIC-Bologna-2023_con-loghi.pdf","2023 - XXXV National Congress of the Italian Society of Allergology, Asthma and Clinical Immunology (SIAAIC)")</f>
        <v>2023 - XXXV National Congress of the Italian Society of Allergology, Asthma and Clinical Immunology (SIAAIC)</v>
      </c>
      <c r="C238" s="47" t="s">
        <v>15</v>
      </c>
      <c r="D238" s="18" t="s">
        <v>16</v>
      </c>
      <c r="E238" s="18" t="s">
        <v>444</v>
      </c>
      <c r="F238" s="17" t="s">
        <v>966</v>
      </c>
      <c r="G238" s="5">
        <v>3</v>
      </c>
      <c r="H238" s="18"/>
    </row>
    <row r="239" spans="1:8" ht="15.95" customHeight="1">
      <c r="A239" s="5">
        <v>235</v>
      </c>
      <c r="B239" s="17" t="str">
        <f>HYPERLINK("https://siica.it/wp-content/uploads/2022/07/Programma_XXXIV-CONGRESSO-NAZIONALE-SIAAIC_07.07.22.pdf","2022 - XXXIV National Congress of the Italian Society of Allergology, Asthma and Clinical Immunology (SIAAIC)")</f>
        <v>2022 - XXXIV National Congress of the Italian Society of Allergology, Asthma and Clinical Immunology (SIAAIC)</v>
      </c>
      <c r="C239" s="47" t="s">
        <v>15</v>
      </c>
      <c r="D239" s="18" t="s">
        <v>16</v>
      </c>
      <c r="E239" s="18" t="s">
        <v>444</v>
      </c>
      <c r="F239" s="17" t="s">
        <v>967</v>
      </c>
      <c r="G239" s="5">
        <v>3</v>
      </c>
      <c r="H239" s="18"/>
    </row>
    <row r="240" spans="1:8" ht="15.95" customHeight="1">
      <c r="A240" s="5">
        <v>236</v>
      </c>
      <c r="B240" s="17" t="str">
        <f>HYPERLINK("https://eventi.infomed-online.it/wp-content/uploads/2021/10/14.07_Pubblicazione_Programma-Preliminare-XXXIII-Congresso-SIAAIC-2.pdf","2021 - XXXIII National Congress of the Italian Society of Allergology, Asthma and Clinical Immunology (SIAAIC)")</f>
        <v>2021 - XXXIII National Congress of the Italian Society of Allergology, Asthma and Clinical Immunology (SIAAIC)</v>
      </c>
      <c r="C240" s="47" t="s">
        <v>15</v>
      </c>
      <c r="D240" s="18" t="s">
        <v>16</v>
      </c>
      <c r="E240" s="18" t="s">
        <v>444</v>
      </c>
      <c r="F240" s="17" t="s">
        <v>968</v>
      </c>
      <c r="G240" s="5">
        <v>3</v>
      </c>
      <c r="H240" s="18"/>
    </row>
    <row r="241" spans="1:8" ht="15.95" customHeight="1">
      <c r="A241" s="5">
        <v>237</v>
      </c>
      <c r="B241" s="17" t="str">
        <f>HYPERLINK("https://bvent.biomedia.net/gestionale/documenti/evento/3800/programma.pdf","2024 - XXVII National Congress of the Italian Society of Genetic Umana")</f>
        <v>2024 - XXVII National Congress of the Italian Society of Genetic Umana</v>
      </c>
      <c r="C241" s="47" t="s">
        <v>15</v>
      </c>
      <c r="D241" s="18" t="s">
        <v>16</v>
      </c>
      <c r="E241" s="18" t="s">
        <v>1805</v>
      </c>
      <c r="F241" s="17" t="s">
        <v>1928</v>
      </c>
      <c r="G241" s="5" t="s">
        <v>2030</v>
      </c>
      <c r="H241" s="18"/>
    </row>
    <row r="242" spans="1:8" ht="15.95" customHeight="1">
      <c r="A242" s="5">
        <v>238</v>
      </c>
      <c r="B242" s="17" t="str">
        <f>HYPERLINK("https://sigu.congressonazionale.com/wp-content/uploads/2023/10/Programma_SIGU2023.pdf","2023 - XXVI National Congress of the Italian Society of Genetic Umana")</f>
        <v>2023 - XXVI National Congress of the Italian Society of Genetic Umana</v>
      </c>
      <c r="C242" s="47" t="s">
        <v>15</v>
      </c>
      <c r="D242" s="18" t="s">
        <v>16</v>
      </c>
      <c r="E242" s="18" t="s">
        <v>1805</v>
      </c>
      <c r="F242" s="17" t="s">
        <v>1929</v>
      </c>
      <c r="G242" s="5" t="s">
        <v>2030</v>
      </c>
      <c r="H242" s="18"/>
    </row>
    <row r="243" spans="1:8" ht="15.95" customHeight="1">
      <c r="A243" s="5">
        <v>239</v>
      </c>
      <c r="B243" s="17" t="str">
        <f>HYPERLINK("https://bvent.biomedia.net/gestionale/documenti/evento/3275/programma.pdf","2022 - XXV National Congress of the Italian Society of Genetic Umana")</f>
        <v>2022 - XXV National Congress of the Italian Society of Genetic Umana</v>
      </c>
      <c r="C243" s="47" t="s">
        <v>15</v>
      </c>
      <c r="D243" s="18" t="s">
        <v>16</v>
      </c>
      <c r="E243" s="18" t="s">
        <v>1805</v>
      </c>
      <c r="F243" s="17" t="s">
        <v>1930</v>
      </c>
      <c r="G243" s="5" t="s">
        <v>2030</v>
      </c>
      <c r="H243" s="18"/>
    </row>
    <row r="244" spans="1:8" ht="15.95" customHeight="1">
      <c r="A244" s="5">
        <v>240</v>
      </c>
      <c r="B244" s="17" t="str">
        <f>HYPERLINK("https://bvent.biomedia.net/gestionale/documenti/evento/3005/programma.pdf","2021 - XXIV National Congress of the Italian Society of Genetic Umana")</f>
        <v>2021 - XXIV National Congress of the Italian Society of Genetic Umana</v>
      </c>
      <c r="C244" s="47" t="s">
        <v>15</v>
      </c>
      <c r="D244" s="18" t="s">
        <v>16</v>
      </c>
      <c r="E244" s="18" t="s">
        <v>1805</v>
      </c>
      <c r="F244" s="17" t="s">
        <v>1931</v>
      </c>
      <c r="G244" s="5" t="s">
        <v>2030</v>
      </c>
      <c r="H244" s="18"/>
    </row>
    <row r="245" spans="1:8" ht="15.95" customHeight="1">
      <c r="A245" s="5">
        <v>241</v>
      </c>
      <c r="B245" s="17" t="str">
        <f>HYPERLINK("https://bvent.biomedia.net/gestionale/documenti/evento/2858/programma.pdf","2020 - XXIII National Congress of the Italian Society of Genetic Umana")</f>
        <v>2020 - XXIII National Congress of the Italian Society of Genetic Umana</v>
      </c>
      <c r="C245" s="47" t="s">
        <v>15</v>
      </c>
      <c r="D245" s="18" t="s">
        <v>16</v>
      </c>
      <c r="E245" s="18" t="s">
        <v>1805</v>
      </c>
      <c r="F245" s="17" t="s">
        <v>1932</v>
      </c>
      <c r="G245" s="5" t="s">
        <v>2030</v>
      </c>
      <c r="H245" s="18"/>
    </row>
    <row r="246" spans="1:8" ht="15.95" customHeight="1">
      <c r="A246" s="5">
        <v>242</v>
      </c>
      <c r="B246" s="17" t="str">
        <f>HYPERLINK("https://siica.it/wp-content/uploads/2023/05/Programma_SIICA_2023-1.pdf","2023 - XIV National Congress of the Italian Society of Immunology, Clinical Immunology and Allergology (SIICA)")</f>
        <v>2023 - XIV National Congress of the Italian Society of Immunology, Clinical Immunology and Allergology (SIICA)</v>
      </c>
      <c r="C246" s="47" t="s">
        <v>15</v>
      </c>
      <c r="D246" s="18" t="s">
        <v>16</v>
      </c>
      <c r="E246" s="18" t="s">
        <v>446</v>
      </c>
      <c r="F246" s="17" t="s">
        <v>969</v>
      </c>
      <c r="G246" s="5">
        <v>3</v>
      </c>
      <c r="H246" s="18"/>
    </row>
    <row r="247" spans="1:8" ht="15.95" customHeight="1">
      <c r="A247" s="5">
        <v>243</v>
      </c>
      <c r="B247" s="17" t="str">
        <f>HYPERLINK("https://siica.it/wp-content/uploads/2022/01/siica2022-prog-0523-1.pdf","2022 - XIII National Congress of the Italian Society of Immunology, Clinical Immunology and Allergology (SIICA)")</f>
        <v>2022 - XIII National Congress of the Italian Society of Immunology, Clinical Immunology and Allergology (SIICA)</v>
      </c>
      <c r="C247" s="47" t="s">
        <v>15</v>
      </c>
      <c r="D247" s="18" t="s">
        <v>16</v>
      </c>
      <c r="E247" s="18" t="s">
        <v>446</v>
      </c>
      <c r="F247" s="17" t="s">
        <v>970</v>
      </c>
      <c r="G247" s="5">
        <v>3</v>
      </c>
      <c r="H247" s="18"/>
    </row>
    <row r="248" spans="1:8" ht="15.95" customHeight="1">
      <c r="A248" s="5">
        <v>244</v>
      </c>
      <c r="B248" s="17" t="str">
        <f>HYPERLINK("https://www.aini.it/wp-content/uploads/2021/05/SIICA2021_FINAL.pdf","2021 - XII National Congress of the Italian Society of Immunology, Clinical Immunology and Allergology (SIICA)")</f>
        <v>2021 - XII National Congress of the Italian Society of Immunology, Clinical Immunology and Allergology (SIICA)</v>
      </c>
      <c r="C248" s="47" t="s">
        <v>15</v>
      </c>
      <c r="D248" s="18" t="s">
        <v>16</v>
      </c>
      <c r="E248" s="18" t="s">
        <v>446</v>
      </c>
      <c r="F248" s="17" t="s">
        <v>971</v>
      </c>
      <c r="G248" s="5">
        <v>3</v>
      </c>
      <c r="H248" s="18"/>
    </row>
    <row r="249" spans="1:8" ht="15.95" customHeight="1">
      <c r="A249" s="5">
        <v>245</v>
      </c>
      <c r="B249" s="17" t="str">
        <f>HYPERLINK("https://gsj96kochi.com/#Welcome","2024 - 96th Annual Meeting of the Genetics Society of Japan")</f>
        <v>2024 - 96th Annual Meeting of the Genetics Society of Japan</v>
      </c>
      <c r="C249" s="47" t="s">
        <v>15</v>
      </c>
      <c r="D249" s="18" t="s">
        <v>110</v>
      </c>
      <c r="E249" s="18" t="s">
        <v>1784</v>
      </c>
      <c r="F249" s="17" t="s">
        <v>1963</v>
      </c>
      <c r="G249" s="5" t="s">
        <v>2030</v>
      </c>
      <c r="H249" s="18"/>
    </row>
    <row r="250" spans="1:8" ht="15.95" customHeight="1">
      <c r="A250" s="5">
        <v>246</v>
      </c>
      <c r="B250" s="17" t="str">
        <f>HYPERLINK("https://gsj95.secand.net/program.html","2023 - 95th Annual Meeting of the Genetics Society of Japan")</f>
        <v>2023 - 95th Annual Meeting of the Genetics Society of Japan</v>
      </c>
      <c r="C250" s="47" t="s">
        <v>15</v>
      </c>
      <c r="D250" s="18" t="s">
        <v>110</v>
      </c>
      <c r="E250" s="18" t="s">
        <v>1784</v>
      </c>
      <c r="F250" s="17" t="s">
        <v>1964</v>
      </c>
      <c r="G250" s="5" t="s">
        <v>2030</v>
      </c>
      <c r="H250" s="18"/>
    </row>
    <row r="251" spans="1:8" ht="15.95" customHeight="1">
      <c r="A251" s="5">
        <v>247</v>
      </c>
      <c r="B251" s="17" t="str">
        <f>HYPERLINK("https://api.ibio.jp/gsj94p/talks.php","2022 - 94th Annual Meeting of the Genetics Society of Japan")</f>
        <v>2022 - 94th Annual Meeting of the Genetics Society of Japan</v>
      </c>
      <c r="C251" s="47" t="s">
        <v>15</v>
      </c>
      <c r="D251" s="18" t="s">
        <v>110</v>
      </c>
      <c r="E251" s="18" t="s">
        <v>1784</v>
      </c>
      <c r="F251" s="17" t="s">
        <v>1965</v>
      </c>
      <c r="G251" s="5" t="s">
        <v>2030</v>
      </c>
      <c r="H251" s="18"/>
    </row>
    <row r="252" spans="1:8" ht="15.95" customHeight="1">
      <c r="A252" s="5">
        <v>248</v>
      </c>
      <c r="B252" s="17" t="str">
        <f>HYPERLINK("https://www.nig.ac.jp/nig/2022/02/information/ha20220210.html","2021 - 93rd Annual Meeting of the Genetics Society of Japan")</f>
        <v>2021 - 93rd Annual Meeting of the Genetics Society of Japan</v>
      </c>
      <c r="C252" s="47" t="s">
        <v>15</v>
      </c>
      <c r="D252" s="18" t="s">
        <v>110</v>
      </c>
      <c r="E252" s="18" t="s">
        <v>1784</v>
      </c>
      <c r="F252" s="17" t="s">
        <v>2017</v>
      </c>
      <c r="G252" s="5" t="s">
        <v>2030</v>
      </c>
      <c r="H252" s="18"/>
    </row>
    <row r="253" spans="1:8" ht="15.95" customHeight="1">
      <c r="A253" s="5">
        <v>249</v>
      </c>
      <c r="B253" s="17" t="str">
        <f>HYPERLINK("http://gsj.kuma-u.jp/program/index.html","2020 - 92nd Annual Meeting of the Genetics Society of Japan")</f>
        <v>2020 - 92nd Annual Meeting of the Genetics Society of Japan</v>
      </c>
      <c r="C253" s="47" t="s">
        <v>15</v>
      </c>
      <c r="D253" s="18" t="s">
        <v>110</v>
      </c>
      <c r="E253" s="18" t="s">
        <v>1784</v>
      </c>
      <c r="F253" s="17" t="s">
        <v>1966</v>
      </c>
      <c r="G253" s="5" t="s">
        <v>2030</v>
      </c>
      <c r="H253" s="18"/>
    </row>
    <row r="254" spans="1:8" ht="15.95" customHeight="1">
      <c r="A254" s="5">
        <v>250</v>
      </c>
      <c r="B254" s="17" t="str">
        <f>HYPERLINK("https://square.umin.ac.jp/jsgct2024/doc/program-jsgct2024.pdf?2407261521","2024 - 30th Annual Meeting of Japan Society of Gene and Cell Therapy")</f>
        <v>2024 - 30th Annual Meeting of Japan Society of Gene and Cell Therapy</v>
      </c>
      <c r="C254" s="47" t="s">
        <v>15</v>
      </c>
      <c r="D254" s="18" t="s">
        <v>110</v>
      </c>
      <c r="E254" s="18" t="s">
        <v>1786</v>
      </c>
      <c r="F254" s="17" t="s">
        <v>1967</v>
      </c>
      <c r="G254" s="5" t="s">
        <v>2030</v>
      </c>
      <c r="H254" s="18"/>
    </row>
    <row r="255" spans="1:8" ht="15.95" customHeight="1">
      <c r="A255" s="5">
        <v>251</v>
      </c>
      <c r="B255" s="17" t="str">
        <f>HYPERLINK("https://www.c-linkage.co.jp/jsgct2023/program.html","2023 - 29th Annual Meeting of Japan Society of Gene and Cell Therapy")</f>
        <v>2023 - 29th Annual Meeting of Japan Society of Gene and Cell Therapy</v>
      </c>
      <c r="C255" s="47" t="s">
        <v>15</v>
      </c>
      <c r="D255" s="18" t="s">
        <v>110</v>
      </c>
      <c r="E255" s="18" t="s">
        <v>1786</v>
      </c>
      <c r="F255" s="17" t="s">
        <v>1968</v>
      </c>
      <c r="G255" s="5" t="s">
        <v>2030</v>
      </c>
      <c r="H255" s="18"/>
    </row>
    <row r="256" spans="1:8" ht="15.95" customHeight="1">
      <c r="A256" s="5">
        <v>252</v>
      </c>
      <c r="B256" s="17" t="str">
        <f>HYPERLINK("https://www.c-linkage.co.jp/jsgct2022/program.html","2022 - 28th Annual Meeting of Japan Society of Gene and Cell Therapy")</f>
        <v>2022 - 28th Annual Meeting of Japan Society of Gene and Cell Therapy</v>
      </c>
      <c r="C256" s="47" t="s">
        <v>15</v>
      </c>
      <c r="D256" s="18" t="s">
        <v>110</v>
      </c>
      <c r="E256" s="18" t="s">
        <v>1786</v>
      </c>
      <c r="F256" s="17" t="s">
        <v>1969</v>
      </c>
      <c r="G256" s="5" t="s">
        <v>2030</v>
      </c>
      <c r="H256" s="18"/>
    </row>
    <row r="257" spans="1:8" ht="15.95" customHeight="1">
      <c r="A257" s="5">
        <v>253</v>
      </c>
      <c r="B257" s="17" t="str">
        <f>HYPERLINK("https://www.jsgct.jp/conference/72/","2021 - 27th Annual Meeting of Japan Society of Gene and Cell Therapy")</f>
        <v>2021 - 27th Annual Meeting of Japan Society of Gene and Cell Therapy</v>
      </c>
      <c r="C257" s="47" t="s">
        <v>15</v>
      </c>
      <c r="D257" s="18" t="s">
        <v>110</v>
      </c>
      <c r="E257" s="18" t="s">
        <v>1786</v>
      </c>
      <c r="F257" s="17" t="s">
        <v>1970</v>
      </c>
      <c r="G257" s="5" t="s">
        <v>2030</v>
      </c>
      <c r="H257" s="18"/>
    </row>
    <row r="258" spans="1:8" ht="15.95" customHeight="1">
      <c r="A258" s="5">
        <v>254</v>
      </c>
      <c r="B258" s="17" t="str">
        <f>HYPERLINK("https://www.c-linkage.co.jp/jsgct2020/program.html","2020 - 26th Annual Meeting of Japan Society of Gene and Cell Therapy")</f>
        <v>2020 - 26th Annual Meeting of Japan Society of Gene and Cell Therapy</v>
      </c>
      <c r="C258" s="47" t="s">
        <v>15</v>
      </c>
      <c r="D258" s="18" t="s">
        <v>110</v>
      </c>
      <c r="E258" s="18" t="s">
        <v>1786</v>
      </c>
      <c r="F258" s="17" t="s">
        <v>1971</v>
      </c>
      <c r="G258" s="5" t="s">
        <v>2030</v>
      </c>
      <c r="H258" s="18"/>
    </row>
    <row r="259" spans="1:8" ht="15.95" customHeight="1">
      <c r="A259" s="5">
        <v>255</v>
      </c>
      <c r="B259" s="17" t="str">
        <f>HYPERLINK("https://www.congre.co.jp/jshg2024/program/index.html","2024 - 69th Annual Meeting of the Japan Society of Human Genetics")</f>
        <v>2024 - 69th Annual Meeting of the Japan Society of Human Genetics</v>
      </c>
      <c r="C259" s="47" t="s">
        <v>15</v>
      </c>
      <c r="D259" s="18" t="s">
        <v>110</v>
      </c>
      <c r="E259" s="18" t="s">
        <v>1779</v>
      </c>
      <c r="F259" s="17" t="s">
        <v>1913</v>
      </c>
      <c r="G259" s="5" t="s">
        <v>2030</v>
      </c>
      <c r="H259" s="18"/>
    </row>
    <row r="260" spans="1:8" ht="15.95" customHeight="1">
      <c r="A260" s="5">
        <v>256</v>
      </c>
      <c r="B260" s="17" t="str">
        <f>HYPERLINK("https://www.congre.co.jp/jshg2022/program.html","2022 - 67th Annual Meeting of the Japan Society of Human Genetics")</f>
        <v>2022 - 67th Annual Meeting of the Japan Society of Human Genetics</v>
      </c>
      <c r="C260" s="47" t="s">
        <v>15</v>
      </c>
      <c r="D260" s="18" t="s">
        <v>110</v>
      </c>
      <c r="E260" s="18" t="s">
        <v>1779</v>
      </c>
      <c r="F260" s="17" t="s">
        <v>1915</v>
      </c>
      <c r="G260" s="5" t="s">
        <v>2030</v>
      </c>
      <c r="H260" s="18"/>
    </row>
    <row r="261" spans="1:8" ht="15.95" customHeight="1">
      <c r="A261" s="5">
        <v>257</v>
      </c>
      <c r="B261" s="17" t="str">
        <f>HYPERLINK("https://www.micenavi.jp/jshg2020/search/result_list","2020 - 65th Annual Meeting of the Japan Society of Human Genetics")</f>
        <v>2020 - 65th Annual Meeting of the Japan Society of Human Genetics</v>
      </c>
      <c r="C261" s="47" t="s">
        <v>15</v>
      </c>
      <c r="D261" s="18" t="s">
        <v>110</v>
      </c>
      <c r="E261" s="18" t="s">
        <v>1779</v>
      </c>
      <c r="F261" s="17" t="s">
        <v>1918</v>
      </c>
      <c r="G261" s="5" t="s">
        <v>2030</v>
      </c>
      <c r="H261" s="18"/>
    </row>
    <row r="262" spans="1:8" ht="15.95" customHeight="1">
      <c r="A262" s="5">
        <v>258</v>
      </c>
      <c r="B262" s="17" t="str">
        <f>HYPERLINK("https://www.congre.co.jp/hga2023/files/program/program_jp.pdf","2023 - 68th Annual Meeting of the Japan Society of Human Genetics held jointly 14th Asia Pacific Conference on Human Genetics (APCHG) and 22nd Annual meeting of East Asian Union of Human Genetics Societies (EAUHGS)")</f>
        <v>2023 - 68th Annual Meeting of the Japan Society of Human Genetics held jointly 14th Asia Pacific Conference on Human Genetics (APCHG) and 22nd Annual meeting of East Asian Union of Human Genetics Societies (EAUHGS)</v>
      </c>
      <c r="C262" s="47" t="s">
        <v>15</v>
      </c>
      <c r="D262" s="18" t="s">
        <v>110</v>
      </c>
      <c r="E262" s="18" t="s">
        <v>2014</v>
      </c>
      <c r="F262" s="17" t="s">
        <v>1914</v>
      </c>
      <c r="G262" s="5" t="s">
        <v>2030</v>
      </c>
      <c r="H262" s="18"/>
    </row>
    <row r="263" spans="1:8" ht="15.95" customHeight="1">
      <c r="A263" s="5">
        <v>259</v>
      </c>
      <c r="B263" s="17" t="str">
        <f>HYPERLINK("https://drew.jp/TEST/jshg-jsgdt2021/en/program.html","2021 - 66th Annual Meeting of the Japan Society of Human Genetics and 28th Annual Meeting of the Japan Society of Genetic Medicine")</f>
        <v>2021 - 66th Annual Meeting of the Japan Society of Human Genetics and 28th Annual Meeting of the Japan Society of Genetic Medicine</v>
      </c>
      <c r="C263" s="47" t="s">
        <v>15</v>
      </c>
      <c r="D263" s="18" t="s">
        <v>110</v>
      </c>
      <c r="E263" s="18" t="s">
        <v>1916</v>
      </c>
      <c r="F263" s="17" t="s">
        <v>1917</v>
      </c>
      <c r="G263" s="5" t="s">
        <v>2030</v>
      </c>
      <c r="H263" s="18"/>
    </row>
    <row r="264" spans="1:8" ht="15.95" customHeight="1">
      <c r="A264" s="5">
        <v>260</v>
      </c>
      <c r="B264" s="17" t="str">
        <f>HYPERLINK("https://www.macc.jp/temp/jsgc48_program_hp.pdf","2024 - 48th Annual Meeting of the Japanese Society of Genetic Counseling")</f>
        <v>2024 - 48th Annual Meeting of the Japanese Society of Genetic Counseling</v>
      </c>
      <c r="C264" s="47" t="s">
        <v>15</v>
      </c>
      <c r="D264" s="18" t="s">
        <v>110</v>
      </c>
      <c r="E264" s="18" t="s">
        <v>1781</v>
      </c>
      <c r="F264" s="17" t="s">
        <v>1958</v>
      </c>
      <c r="G264" s="5" t="s">
        <v>2030</v>
      </c>
      <c r="H264" s="18"/>
    </row>
    <row r="265" spans="1:8" ht="15.95" customHeight="1">
      <c r="A265" s="5">
        <v>261</v>
      </c>
      <c r="B265" s="17" t="str">
        <f>HYPERLINK("https://macc.jp/temp/47program.pdf","2023 - 47th Annual Meeting of the Japanese Society of Genetic Counseling")</f>
        <v>2023 - 47th Annual Meeting of the Japanese Society of Genetic Counseling</v>
      </c>
      <c r="C265" s="47" t="s">
        <v>15</v>
      </c>
      <c r="D265" s="18" t="s">
        <v>110</v>
      </c>
      <c r="E265" s="18" t="s">
        <v>1781</v>
      </c>
      <c r="F265" s="17" t="s">
        <v>1959</v>
      </c>
      <c r="G265" s="5" t="s">
        <v>2030</v>
      </c>
      <c r="H265" s="18"/>
    </row>
    <row r="266" spans="1:8" ht="15.95" customHeight="1">
      <c r="A266" s="5">
        <v>262</v>
      </c>
      <c r="B266" s="17" t="str">
        <f>HYPERLINK("https://square.umin.ac.jp/jsgc46/pdf/program.pdf","2022 - 46th Annual Meeting of the Japanese Society of Genetic Counseling")</f>
        <v>2022 - 46th Annual Meeting of the Japanese Society of Genetic Counseling</v>
      </c>
      <c r="C266" s="47" t="s">
        <v>15</v>
      </c>
      <c r="D266" s="18" t="s">
        <v>110</v>
      </c>
      <c r="E266" s="18" t="s">
        <v>1781</v>
      </c>
      <c r="F266" s="17" t="s">
        <v>1960</v>
      </c>
      <c r="G266" s="5" t="s">
        <v>2030</v>
      </c>
      <c r="H266" s="18"/>
    </row>
    <row r="267" spans="1:8" ht="15.95" customHeight="1">
      <c r="A267" s="5">
        <v>263</v>
      </c>
      <c r="B267" s="17" t="str">
        <f>HYPERLINK("https://gakujutsushukai.jp/jsgc2021/terms","2021 - 45th Annual Meeting of the Japanese Society of Genetic Counseling")</f>
        <v>2021 - 45th Annual Meeting of the Japanese Society of Genetic Counseling</v>
      </c>
      <c r="C267" s="47" t="s">
        <v>15</v>
      </c>
      <c r="D267" s="18" t="s">
        <v>110</v>
      </c>
      <c r="E267" s="18" t="s">
        <v>1781</v>
      </c>
      <c r="F267" s="17" t="s">
        <v>1961</v>
      </c>
      <c r="G267" s="5" t="s">
        <v>2030</v>
      </c>
      <c r="H267" s="18"/>
    </row>
    <row r="268" spans="1:8" ht="15.95" customHeight="1">
      <c r="A268" s="5">
        <v>264</v>
      </c>
      <c r="B268" s="17" t="str">
        <f>HYPERLINK("https://www.okinawa-congre.co.jp/jsgc2020/files/program.pdf","2020 - 44th Annual Meeting of the Japanese Society of Genetic Counseling")</f>
        <v>2020 - 44th Annual Meeting of the Japanese Society of Genetic Counseling</v>
      </c>
      <c r="C268" s="47" t="s">
        <v>15</v>
      </c>
      <c r="D268" s="18" t="s">
        <v>110</v>
      </c>
      <c r="E268" s="18" t="s">
        <v>1781</v>
      </c>
      <c r="F268" s="17" t="s">
        <v>1962</v>
      </c>
      <c r="G268" s="5" t="s">
        <v>2030</v>
      </c>
      <c r="H268" s="18"/>
    </row>
    <row r="269" spans="1:8" ht="15.95" customHeight="1">
      <c r="A269" s="5">
        <v>265</v>
      </c>
      <c r="B269" s="17" t="str">
        <f>HYPERLINK("https://jsiad.org/wp-content/uploads/2023/01/JSIAD2023_schedule_jpen.pdf","2023 - 6th Annual Scientific Meeting of the Japanese Society of Immunodeficiency and Autoinflammation")</f>
        <v>2023 - 6th Annual Scientific Meeting of the Japanese Society of Immunodeficiency and Autoinflammation</v>
      </c>
      <c r="C269" s="47" t="s">
        <v>15</v>
      </c>
      <c r="D269" s="18" t="s">
        <v>110</v>
      </c>
      <c r="E269" s="18" t="s">
        <v>377</v>
      </c>
      <c r="F269" s="17" t="s">
        <v>1094</v>
      </c>
      <c r="G269" s="5">
        <v>2</v>
      </c>
      <c r="H269" s="18"/>
    </row>
    <row r="270" spans="1:8" ht="15.95" customHeight="1">
      <c r="A270" s="5">
        <v>266</v>
      </c>
      <c r="B270" s="17" t="str">
        <f>HYPERLINK("https://www.jsiad.org/wp-content/uploads/2022/01/time-table.pdf","2022 - 5th Annual Scientific Meeting of the Japanese Society of Immunodeficiency and Autoinflammation")</f>
        <v>2022 - 5th Annual Scientific Meeting of the Japanese Society of Immunodeficiency and Autoinflammation</v>
      </c>
      <c r="C270" s="47" t="s">
        <v>15</v>
      </c>
      <c r="D270" s="18" t="s">
        <v>110</v>
      </c>
      <c r="E270" s="18" t="s">
        <v>377</v>
      </c>
      <c r="F270" s="17" t="s">
        <v>1095</v>
      </c>
      <c r="G270" s="5">
        <v>2</v>
      </c>
      <c r="H270" s="18"/>
    </row>
    <row r="271" spans="1:8" ht="15.95" customHeight="1">
      <c r="A271" s="5">
        <v>267</v>
      </c>
      <c r="B271" s="17" t="str">
        <f>HYPERLINK("http://jsiad-4thmeeting.kenkyuukai.jp/images/sys/information/20210129085657-E648042C1D31D385E56194B1550350833902F46649C97F90A1EE4570E98B7FC2.pdf","2021 - 4th Annual Scientific Meeting of the Japanese Society of Immunodeficiency and Autoinflammation")</f>
        <v>2021 - 4th Annual Scientific Meeting of the Japanese Society of Immunodeficiency and Autoinflammation</v>
      </c>
      <c r="C271" s="47" t="s">
        <v>15</v>
      </c>
      <c r="D271" s="18" t="s">
        <v>110</v>
      </c>
      <c r="E271" s="18" t="s">
        <v>377</v>
      </c>
      <c r="F271" s="17" t="s">
        <v>1096</v>
      </c>
      <c r="G271" s="5">
        <v>2</v>
      </c>
      <c r="H271" s="18"/>
    </row>
    <row r="272" spans="1:8" ht="15.95" customHeight="1">
      <c r="A272" s="5">
        <v>268</v>
      </c>
      <c r="B272" s="17" t="str">
        <f>HYPERLINK("https://www.jsiad.org/wp-content/uploads/2019/12/JSIAD_3rd-Program.pdf","2020 - 3rd Annual Scientific Meeting of the Japanese Society of Immunodeficiency and Autoinflammation")</f>
        <v>2020 - 3rd Annual Scientific Meeting of the Japanese Society of Immunodeficiency and Autoinflammation</v>
      </c>
      <c r="C272" s="47" t="s">
        <v>15</v>
      </c>
      <c r="D272" s="18" t="s">
        <v>110</v>
      </c>
      <c r="E272" s="18" t="s">
        <v>377</v>
      </c>
      <c r="F272" s="17" t="s">
        <v>1097</v>
      </c>
      <c r="G272" s="5">
        <v>2</v>
      </c>
      <c r="H272" s="18"/>
    </row>
    <row r="273" spans="1:8" ht="15.95" customHeight="1">
      <c r="A273" s="5">
        <v>269</v>
      </c>
      <c r="B273" s="17" t="str">
        <f>HYPERLINK("https://www2.aeplan.co.jp/jsi2024/program.html","2024 - 53rd Annual Meeting of the Japanese Society for Immunology")</f>
        <v>2024 - 53rd Annual Meeting of the Japanese Society for Immunology</v>
      </c>
      <c r="C273" s="47" t="s">
        <v>15</v>
      </c>
      <c r="D273" s="18" t="s">
        <v>110</v>
      </c>
      <c r="E273" s="18" t="s">
        <v>402</v>
      </c>
      <c r="F273" s="17" t="s">
        <v>911</v>
      </c>
      <c r="G273" s="5">
        <v>3</v>
      </c>
      <c r="H273" s="18"/>
    </row>
    <row r="274" spans="1:8" ht="15.95" customHeight="1">
      <c r="A274" s="5">
        <v>270</v>
      </c>
      <c r="B274" s="17" t="str">
        <f>HYPERLINK("https://www2.aeplan.co.jp/jsi2023/wp-content/uploads/2023/12/program_final_20231227.pdf","2023 - 52nd Annual Meeting of the Japanese Society for Immunology")</f>
        <v>2023 - 52nd Annual Meeting of the Japanese Society for Immunology</v>
      </c>
      <c r="C274" s="47" t="s">
        <v>15</v>
      </c>
      <c r="D274" s="18" t="s">
        <v>110</v>
      </c>
      <c r="E274" s="18" t="s">
        <v>402</v>
      </c>
      <c r="F274" s="17" t="s">
        <v>912</v>
      </c>
      <c r="G274" s="5">
        <v>3</v>
      </c>
      <c r="H274" s="18"/>
    </row>
    <row r="275" spans="1:8" ht="15.95" customHeight="1">
      <c r="A275" s="5">
        <v>271</v>
      </c>
      <c r="B275" s="17" t="str">
        <f>HYPERLINK("https://www2.aeplan.co.jp/jsi2022/wp-content/uploads/2022/12/Program.pdf","2022 - 51st Annual Meeting of the Japanese Society for Immunology")</f>
        <v>2022 - 51st Annual Meeting of the Japanese Society for Immunology</v>
      </c>
      <c r="C275" s="47" t="s">
        <v>15</v>
      </c>
      <c r="D275" s="18" t="s">
        <v>110</v>
      </c>
      <c r="E275" s="18" t="s">
        <v>402</v>
      </c>
      <c r="F275" s="17" t="s">
        <v>913</v>
      </c>
      <c r="G275" s="5">
        <v>3</v>
      </c>
      <c r="H275" s="18"/>
    </row>
    <row r="276" spans="1:8" ht="15.95" customHeight="1">
      <c r="A276" s="5">
        <v>272</v>
      </c>
      <c r="B276" s="17" t="str">
        <f>HYPERLINK("https://www2.aeplan.co.jp/jsi2021/images/common/program_of_the_japanese_society_for_immunology_jsi_vol50.pdf","2021 - 50th Annual Meeting of the Japanese Society for Immunology")</f>
        <v>2021 - 50th Annual Meeting of the Japanese Society for Immunology</v>
      </c>
      <c r="C276" s="47" t="s">
        <v>15</v>
      </c>
      <c r="D276" s="18" t="s">
        <v>110</v>
      </c>
      <c r="E276" s="18" t="s">
        <v>402</v>
      </c>
      <c r="F276" s="17" t="s">
        <v>914</v>
      </c>
      <c r="G276" s="5">
        <v>3</v>
      </c>
      <c r="H276" s="18"/>
    </row>
    <row r="277" spans="1:8" ht="15.95" customHeight="1">
      <c r="A277" s="5">
        <v>273</v>
      </c>
      <c r="B277" s="17" t="str">
        <f>HYPERLINK("https://icongroup.co.jp/49immunology/english/program/","2020 - 49th Annual Meeting of the Japanese Society for Immunology")</f>
        <v>2020 - 49th Annual Meeting of the Japanese Society for Immunology</v>
      </c>
      <c r="C277" s="47" t="s">
        <v>15</v>
      </c>
      <c r="D277" s="18" t="s">
        <v>110</v>
      </c>
      <c r="E277" s="18" t="s">
        <v>402</v>
      </c>
      <c r="F277" s="17" t="s">
        <v>915</v>
      </c>
      <c r="G277" s="5">
        <v>3</v>
      </c>
      <c r="H277" s="18"/>
    </row>
    <row r="278" spans="1:8" ht="15.95" customHeight="1">
      <c r="A278" s="5">
        <v>274</v>
      </c>
      <c r="B278" s="17" t="str">
        <f>HYPERLINK("https://jscia54.jp/index.html","2024 - 54th Annual Meeting of the Japanese Society of Allergy, Immunology and Cutaneous Medicine")</f>
        <v>2024 - 54th Annual Meeting of the Japanese Society of Allergy, Immunology and Cutaneous Medicine</v>
      </c>
      <c r="C278" s="47" t="s">
        <v>15</v>
      </c>
      <c r="D278" s="18" t="s">
        <v>110</v>
      </c>
      <c r="E278" s="18" t="s">
        <v>448</v>
      </c>
      <c r="F278" s="17" t="s">
        <v>949</v>
      </c>
      <c r="G278" s="5">
        <v>3</v>
      </c>
      <c r="H278" s="18"/>
    </row>
    <row r="279" spans="1:8" ht="15.95" customHeight="1">
      <c r="A279" s="5">
        <v>275</v>
      </c>
      <c r="B279" s="17" t="str">
        <f>HYPERLINK("http://jscia53.umin.jp/program.html","2023 - 53rd Annual Meeting of the Japanese Society of Allergy, Immunology and Cutaneous Medicine")</f>
        <v>2023 - 53rd Annual Meeting of the Japanese Society of Allergy, Immunology and Cutaneous Medicine</v>
      </c>
      <c r="C279" s="47" t="s">
        <v>15</v>
      </c>
      <c r="D279" s="18" t="s">
        <v>110</v>
      </c>
      <c r="E279" s="18" t="s">
        <v>448</v>
      </c>
      <c r="F279" s="17" t="s">
        <v>950</v>
      </c>
      <c r="G279" s="5">
        <v>3</v>
      </c>
      <c r="H279" s="18"/>
    </row>
    <row r="280" spans="1:8" ht="15.95" customHeight="1">
      <c r="A280" s="5">
        <v>276</v>
      </c>
      <c r="B280" s="17" t="str">
        <f>HYPERLINK("http://jscia52.umin.jp/program.html","2022 - 52nd Annual Meeting of the Japanese Society of Allergy, Immunology and Cutaneous Medicine")</f>
        <v>2022 - 52nd Annual Meeting of the Japanese Society of Allergy, Immunology and Cutaneous Medicine</v>
      </c>
      <c r="C280" s="47" t="s">
        <v>15</v>
      </c>
      <c r="D280" s="18" t="s">
        <v>110</v>
      </c>
      <c r="E280" s="18" t="s">
        <v>448</v>
      </c>
      <c r="F280" s="17" t="s">
        <v>951</v>
      </c>
      <c r="G280" s="5">
        <v>3</v>
      </c>
      <c r="H280" s="18"/>
    </row>
    <row r="281" spans="1:8" ht="15.95" customHeight="1">
      <c r="A281" s="5">
        <v>277</v>
      </c>
      <c r="B281" s="17" t="str">
        <f>HYPERLINK("https://www.jscia.org/event_past.html","2021 - 51st Annual Meeting of the Japanese Society of Allergy, Immunology and Cutaneous Medicine")</f>
        <v>2021 - 51st Annual Meeting of the Japanese Society of Allergy, Immunology and Cutaneous Medicine</v>
      </c>
      <c r="C281" s="47" t="s">
        <v>15</v>
      </c>
      <c r="D281" s="18" t="s">
        <v>110</v>
      </c>
      <c r="E281" s="18" t="s">
        <v>448</v>
      </c>
      <c r="F281" s="17" t="s">
        <v>952</v>
      </c>
      <c r="G281" s="5">
        <v>3</v>
      </c>
      <c r="H281" s="18"/>
    </row>
    <row r="282" spans="1:8" ht="15.95" customHeight="1">
      <c r="A282" s="5">
        <v>278</v>
      </c>
      <c r="B282" s="17" t="str">
        <f>HYPERLINK("http://jscia50.umin.jp/program.html","2020 - 50th Annual Meeting of the Japanese Society of Allergy, Immunology and Cutaneous Medicine")</f>
        <v>2020 - 50th Annual Meeting of the Japanese Society of Allergy, Immunology and Cutaneous Medicine</v>
      </c>
      <c r="C282" s="47" t="s">
        <v>15</v>
      </c>
      <c r="D282" s="18" t="s">
        <v>110</v>
      </c>
      <c r="E282" s="18" t="s">
        <v>448</v>
      </c>
      <c r="F282" s="17" t="s">
        <v>953</v>
      </c>
      <c r="G282" s="5">
        <v>3</v>
      </c>
      <c r="H282" s="18"/>
    </row>
    <row r="283" spans="1:8" ht="15.95" customHeight="1">
      <c r="A283" s="5">
        <v>279</v>
      </c>
      <c r="B283" s="17" t="str">
        <f>HYPERLINK("https://www.icongroup.co.jp/52jsci/program/52JSCI_program_0807.pdf","2024 - 52nd Annual Meeting of the Japanese Society of Clinical Immunology")</f>
        <v>2024 - 52nd Annual Meeting of the Japanese Society of Clinical Immunology</v>
      </c>
      <c r="C283" s="47" t="s">
        <v>15</v>
      </c>
      <c r="D283" s="18" t="s">
        <v>110</v>
      </c>
      <c r="E283" s="18" t="s">
        <v>404</v>
      </c>
      <c r="F283" s="17" t="s">
        <v>916</v>
      </c>
      <c r="G283" s="5">
        <v>3</v>
      </c>
      <c r="H283" s="18"/>
    </row>
    <row r="284" spans="1:8" ht="15.95" customHeight="1">
      <c r="A284" s="5">
        <v>280</v>
      </c>
      <c r="B284" s="17" t="str">
        <f>HYPERLINK("https://www.icongroup.co.jp/51jsci/program/51JSCI_program-1003.pdf","2023 - 51st Annual Meeting of the Japanese Society of Clinical Immunology")</f>
        <v>2023 - 51st Annual Meeting of the Japanese Society of Clinical Immunology</v>
      </c>
      <c r="C284" s="47" t="s">
        <v>15</v>
      </c>
      <c r="D284" s="18" t="s">
        <v>110</v>
      </c>
      <c r="E284" s="18" t="s">
        <v>917</v>
      </c>
      <c r="F284" s="17" t="s">
        <v>918</v>
      </c>
      <c r="G284" s="5">
        <v>3</v>
      </c>
      <c r="H284" s="18"/>
    </row>
    <row r="285" spans="1:8" ht="15.95" customHeight="1">
      <c r="A285" s="5">
        <v>281</v>
      </c>
      <c r="B285" s="17" t="str">
        <f>HYPERLINK("https://www.icongroup.co.jp/50jsci/program/program_0906.pdf","2022 - 50th Annual Meeting of the Japanese Society of Clinical Immunology")</f>
        <v>2022 - 50th Annual Meeting of the Japanese Society of Clinical Immunology</v>
      </c>
      <c r="C285" s="47" t="s">
        <v>15</v>
      </c>
      <c r="D285" s="18" t="s">
        <v>110</v>
      </c>
      <c r="E285" s="18" t="s">
        <v>917</v>
      </c>
      <c r="F285" s="17" t="s">
        <v>919</v>
      </c>
      <c r="G285" s="5">
        <v>3</v>
      </c>
      <c r="H285" s="18"/>
    </row>
    <row r="286" spans="1:8" ht="15.95" customHeight="1">
      <c r="A286" s="5">
        <v>282</v>
      </c>
      <c r="B286" s="17" t="str">
        <f>HYPERLINK("https://site2.convention.co.jp/49jsci/program/program_1020.pdf","2021 - 49th Annual Meeting of the Japanese Society of Clinical Immunology")</f>
        <v>2021 - 49th Annual Meeting of the Japanese Society of Clinical Immunology</v>
      </c>
      <c r="C286" s="47" t="s">
        <v>15</v>
      </c>
      <c r="D286" s="18" t="s">
        <v>110</v>
      </c>
      <c r="E286" s="18" t="s">
        <v>917</v>
      </c>
      <c r="F286" s="17" t="s">
        <v>920</v>
      </c>
      <c r="G286" s="5">
        <v>3</v>
      </c>
      <c r="H286" s="18"/>
    </row>
    <row r="287" spans="1:8" ht="15.95" customHeight="1">
      <c r="A287" s="5">
        <v>283</v>
      </c>
      <c r="B287" s="17" t="str">
        <f>HYPERLINK("https://site2.convention.co.jp/48jsci/images/program1009.pdf","2020 - 48th Annual Meeting of the Japanese Society of Clinical Immunology")</f>
        <v>2020 - 48th Annual Meeting of the Japanese Society of Clinical Immunology</v>
      </c>
      <c r="C287" s="47" t="s">
        <v>15</v>
      </c>
      <c r="D287" s="18" t="s">
        <v>110</v>
      </c>
      <c r="E287" s="18" t="s">
        <v>917</v>
      </c>
      <c r="F287" s="17" t="s">
        <v>921</v>
      </c>
      <c r="G287" s="5">
        <v>3</v>
      </c>
      <c r="H287" s="18"/>
    </row>
    <row r="288" spans="1:8" ht="15.95" customHeight="1">
      <c r="A288" s="5">
        <v>284</v>
      </c>
      <c r="B288" s="17" t="str">
        <f>HYPERLINK("https://site2.convention.co.jp/61jspaci/program/","2024 - 61st Annual Meeting of Japanese Society of Pediatric Allergy and Clinical Immunology")</f>
        <v>2024 - 61st Annual Meeting of Japanese Society of Pediatric Allergy and Clinical Immunology</v>
      </c>
      <c r="C288" s="47" t="s">
        <v>15</v>
      </c>
      <c r="D288" s="18" t="s">
        <v>110</v>
      </c>
      <c r="E288" s="18" t="s">
        <v>450</v>
      </c>
      <c r="F288" s="17" t="s">
        <v>972</v>
      </c>
      <c r="G288" s="5">
        <v>3</v>
      </c>
      <c r="H288" s="18"/>
    </row>
    <row r="289" spans="1:8" ht="15.95" customHeight="1">
      <c r="A289" s="5">
        <v>285</v>
      </c>
      <c r="B289" s="17" t="str">
        <f>HYPERLINK("https://site2.convention.co.jp/60jspaci/english/program/","2023 - 60th Annual Meeting of Japanese Society of Pediatric Allergy and Clinical Immunology")</f>
        <v>2023 - 60th Annual Meeting of Japanese Society of Pediatric Allergy and Clinical Immunology</v>
      </c>
      <c r="C289" s="47" t="s">
        <v>15</v>
      </c>
      <c r="D289" s="18" t="s">
        <v>110</v>
      </c>
      <c r="E289" s="18" t="s">
        <v>450</v>
      </c>
      <c r="F289" s="17" t="s">
        <v>973</v>
      </c>
      <c r="G289" s="5">
        <v>3</v>
      </c>
      <c r="H289" s="18"/>
    </row>
    <row r="290" spans="1:8" ht="15.95" customHeight="1">
      <c r="A290" s="5">
        <v>286</v>
      </c>
      <c r="B290" s="17" t="str">
        <f>HYPERLINK("https://www.apapari.org/news/2022-jspaci-apapari-joint-congress/","2022 - 59th Annual Meeting of Japanese Society of Pediatric Allergy and Clinical Immunology")</f>
        <v>2022 - 59th Annual Meeting of Japanese Society of Pediatric Allergy and Clinical Immunology</v>
      </c>
      <c r="C290" s="47" t="s">
        <v>15</v>
      </c>
      <c r="D290" s="18" t="s">
        <v>110</v>
      </c>
      <c r="E290" s="18" t="s">
        <v>450</v>
      </c>
      <c r="F290" s="17" t="s">
        <v>974</v>
      </c>
      <c r="G290" s="5">
        <v>3</v>
      </c>
      <c r="H290" s="18"/>
    </row>
    <row r="291" spans="1:8" ht="15.95" customHeight="1">
      <c r="A291" s="5">
        <v>287</v>
      </c>
      <c r="B291" s="17" t="str">
        <f>HYPERLINK("http://jspaci58.umin.jp/dl/timetable02.pdf","2021 - 58th Annual Meeting of Japanese Society of Pediatric Allergy and Clinical Immunology")</f>
        <v>2021 - 58th Annual Meeting of Japanese Society of Pediatric Allergy and Clinical Immunology</v>
      </c>
      <c r="C291" s="47" t="s">
        <v>15</v>
      </c>
      <c r="D291" s="18" t="s">
        <v>110</v>
      </c>
      <c r="E291" s="18" t="s">
        <v>450</v>
      </c>
      <c r="F291" s="17" t="s">
        <v>975</v>
      </c>
      <c r="G291" s="5">
        <v>3</v>
      </c>
      <c r="H291" s="18"/>
    </row>
    <row r="292" spans="1:8" ht="15.95" customHeight="1">
      <c r="A292" s="5">
        <v>288</v>
      </c>
      <c r="B292" s="17" t="str">
        <f>HYPERLINK("http://jspaci57.umin.jp/program/","2020 - 57th Annual Meeting of Japanese Society of Pediatric Allergy and Clinical Immunology")</f>
        <v>2020 - 57th Annual Meeting of Japanese Society of Pediatric Allergy and Clinical Immunology</v>
      </c>
      <c r="C292" s="47" t="s">
        <v>15</v>
      </c>
      <c r="D292" s="18" t="s">
        <v>110</v>
      </c>
      <c r="E292" s="18" t="s">
        <v>450</v>
      </c>
      <c r="F292" s="17" t="s">
        <v>976</v>
      </c>
      <c r="G292" s="5">
        <v>3</v>
      </c>
      <c r="H292" s="18"/>
    </row>
    <row r="293" spans="1:8" ht="15.95" customHeight="1">
      <c r="A293" s="5">
        <v>289</v>
      </c>
      <c r="B293" s="17" t="str">
        <f>HYPERLINK("https://ssmg.org.sa/wp-content/uploads/2024/01/","2024 - 1st Genetic Diseases Conference of the Saudi Society of Medical Genetics")</f>
        <v>2024 - 1st Genetic Diseases Conference of the Saudi Society of Medical Genetics</v>
      </c>
      <c r="C293" s="47" t="s">
        <v>15</v>
      </c>
      <c r="D293" s="18" t="s">
        <v>299</v>
      </c>
      <c r="E293" s="18" t="s">
        <v>1807</v>
      </c>
      <c r="F293" s="17" t="s">
        <v>1942</v>
      </c>
      <c r="G293" s="5" t="s">
        <v>2030</v>
      </c>
      <c r="H293" s="18"/>
    </row>
    <row r="294" spans="1:8" ht="15.95" customHeight="1">
      <c r="A294" s="5">
        <v>290</v>
      </c>
      <c r="B294" s="17" t="str">
        <f>HYPERLINK("https://kaaaci.or.kr/2023f/content/program.php","2023 - Annual Autumn Congress on Korean Academy of Asthma, Allergy and Clinical Immunology")</f>
        <v>2023 - Annual Autumn Congress on Korean Academy of Asthma, Allergy and Clinical Immunology</v>
      </c>
      <c r="C294" s="47" t="s">
        <v>15</v>
      </c>
      <c r="D294" s="18" t="s">
        <v>344</v>
      </c>
      <c r="E294" s="18" t="s">
        <v>454</v>
      </c>
      <c r="F294" s="17" t="s">
        <v>1148</v>
      </c>
      <c r="G294" s="5">
        <v>3</v>
      </c>
      <c r="H294" s="18"/>
    </row>
    <row r="295" spans="1:8" ht="15.95" customHeight="1">
      <c r="A295" s="5">
        <v>291</v>
      </c>
      <c r="B295" s="17" t="str">
        <f>HYPERLINK("https://kaaaci.or.kr/2022f/content/program.php","2022 - Annual Autumn Congress on Korean Academy of Asthma, Allergy and Clinical Immunology")</f>
        <v>2022 - Annual Autumn Congress on Korean Academy of Asthma, Allergy and Clinical Immunology</v>
      </c>
      <c r="C295" s="47" t="s">
        <v>15</v>
      </c>
      <c r="D295" s="18" t="s">
        <v>344</v>
      </c>
      <c r="E295" s="18" t="s">
        <v>454</v>
      </c>
      <c r="F295" s="17" t="s">
        <v>1149</v>
      </c>
      <c r="G295" s="5">
        <v>3</v>
      </c>
      <c r="H295" s="18"/>
    </row>
    <row r="296" spans="1:8" ht="15.95" customHeight="1">
      <c r="A296" s="5">
        <v>292</v>
      </c>
      <c r="B296" s="17" t="str">
        <f>HYPERLINK("https://kaaaci.or.kr/2021f/content/program.php","2021 - Annual Autumn Congress on Korean Academy of Asthma, Allergy and Clinical Immunology")</f>
        <v>2021 - Annual Autumn Congress on Korean Academy of Asthma, Allergy and Clinical Immunology</v>
      </c>
      <c r="C296" s="47" t="s">
        <v>15</v>
      </c>
      <c r="D296" s="18" t="s">
        <v>344</v>
      </c>
      <c r="E296" s="18" t="s">
        <v>454</v>
      </c>
      <c r="F296" s="17" t="s">
        <v>1150</v>
      </c>
      <c r="G296" s="5">
        <v>3</v>
      </c>
      <c r="H296" s="18"/>
    </row>
    <row r="297" spans="1:8" ht="15.95" customHeight="1">
      <c r="A297" s="5">
        <v>293</v>
      </c>
      <c r="B297" s="17" t="str">
        <f>HYPERLINK("https://kaaaci.or.kr/2020f/content/program.php","2020 - Annual Autumn Congress on Korean Academy of Asthma, Allergy and Clinical Immunology")</f>
        <v>2020 - Annual Autumn Congress on Korean Academy of Asthma, Allergy and Clinical Immunology</v>
      </c>
      <c r="C297" s="47" t="s">
        <v>15</v>
      </c>
      <c r="D297" s="18" t="s">
        <v>344</v>
      </c>
      <c r="E297" s="18" t="s">
        <v>454</v>
      </c>
      <c r="F297" s="17" t="s">
        <v>1151</v>
      </c>
      <c r="G297" s="5">
        <v>3</v>
      </c>
      <c r="H297" s="18"/>
    </row>
    <row r="298" spans="1:8" ht="15.95" customHeight="1">
      <c r="A298" s="5">
        <v>294</v>
      </c>
      <c r="B298" s="17" t="str">
        <f>HYPERLINK("https://www.ksgd.org/conference/61/index.php?hCode=PROGRAM_03_01","2024 - 19th Academic Conference of the Korean Society for Diagnostic Genetics")</f>
        <v>2024 - 19th Academic Conference of the Korean Society for Diagnostic Genetics</v>
      </c>
      <c r="C298" s="47" t="s">
        <v>15</v>
      </c>
      <c r="D298" s="18" t="s">
        <v>344</v>
      </c>
      <c r="E298" s="18" t="s">
        <v>1775</v>
      </c>
      <c r="F298" s="17" t="s">
        <v>1953</v>
      </c>
      <c r="G298" s="5" t="s">
        <v>2030</v>
      </c>
      <c r="H298" s="18"/>
    </row>
    <row r="299" spans="1:8" ht="15.95" customHeight="1">
      <c r="A299" s="5">
        <v>295</v>
      </c>
      <c r="B299" s="17" t="str">
        <f>HYPERLINK("https://www.ksgd.org/conference/59/index.php?hCode=PROGRAM_03_01","2023 - 18th Academic Conference of the Korean Society for Diagnostic Genetics")</f>
        <v>2023 - 18th Academic Conference of the Korean Society for Diagnostic Genetics</v>
      </c>
      <c r="C299" s="47" t="s">
        <v>15</v>
      </c>
      <c r="D299" s="18" t="s">
        <v>344</v>
      </c>
      <c r="E299" s="18" t="s">
        <v>1775</v>
      </c>
      <c r="F299" s="17" t="s">
        <v>1954</v>
      </c>
      <c r="G299" s="5" t="s">
        <v>2030</v>
      </c>
      <c r="H299" s="18"/>
    </row>
    <row r="300" spans="1:8" ht="15.95" customHeight="1">
      <c r="A300" s="5">
        <v>296</v>
      </c>
      <c r="B300" s="17" t="str">
        <f>HYPERLINK("https://www.ksgd.org/conference/55/index.php?hCode=PROGRAM_03_01","2022 - 17th Academic Conference of the Korean Society for Diagnostic Genetics")</f>
        <v>2022 - 17th Academic Conference of the Korean Society for Diagnostic Genetics</v>
      </c>
      <c r="C300" s="47" t="s">
        <v>15</v>
      </c>
      <c r="D300" s="18" t="s">
        <v>344</v>
      </c>
      <c r="E300" s="18" t="s">
        <v>1775</v>
      </c>
      <c r="F300" s="17" t="s">
        <v>1955</v>
      </c>
      <c r="G300" s="5" t="s">
        <v>2030</v>
      </c>
      <c r="H300" s="18"/>
    </row>
    <row r="301" spans="1:8" ht="15.95" customHeight="1">
      <c r="A301" s="5">
        <v>297</v>
      </c>
      <c r="B301" s="17" t="str">
        <f>HYPERLINK("https://www.ksgd.org/conference/53/index.php?hCode=PROGRAM_03_01","2021 - 16th Academic Conference of the Korean Society for Diagnostic Genetics")</f>
        <v>2021 - 16th Academic Conference of the Korean Society for Diagnostic Genetics</v>
      </c>
      <c r="C301" s="47" t="s">
        <v>15</v>
      </c>
      <c r="D301" s="18" t="s">
        <v>344</v>
      </c>
      <c r="E301" s="18" t="s">
        <v>1775</v>
      </c>
      <c r="F301" s="17" t="s">
        <v>1956</v>
      </c>
      <c r="G301" s="5" t="s">
        <v>2030</v>
      </c>
      <c r="H301" s="18"/>
    </row>
    <row r="302" spans="1:8" ht="15.95" customHeight="1">
      <c r="A302" s="5">
        <v>298</v>
      </c>
      <c r="B302" s="17" t="str">
        <f>HYPERLINK("https://www.ksgd.org/conference/49/","2020 - 15th Academic Conference of the Korean Society for Diagnostic Genetics")</f>
        <v>2020 - 15th Academic Conference of the Korean Society for Diagnostic Genetics</v>
      </c>
      <c r="C302" s="47" t="s">
        <v>15</v>
      </c>
      <c r="D302" s="18" t="s">
        <v>344</v>
      </c>
      <c r="E302" s="18" t="s">
        <v>1775</v>
      </c>
      <c r="F302" s="17" t="s">
        <v>1957</v>
      </c>
      <c r="G302" s="5" t="s">
        <v>2030</v>
      </c>
      <c r="H302" s="18"/>
    </row>
    <row r="303" spans="1:8" ht="15.95" customHeight="1">
      <c r="A303" s="5">
        <v>299</v>
      </c>
      <c r="B303" s="17" t="str">
        <f>HYPERLINK("https://www.geneticahumana.org/documentos/genetica%20programa%20vertical%2023.pdf","2024 - IV Interdisciplinary Congress On Human Genetics Spanish Association of Human Genetics")</f>
        <v>2024 - IV Interdisciplinary Congress On Human Genetics Spanish Association of Human Genetics</v>
      </c>
      <c r="C303" s="47" t="s">
        <v>15</v>
      </c>
      <c r="D303" s="18" t="s">
        <v>107</v>
      </c>
      <c r="E303" s="18" t="s">
        <v>1767</v>
      </c>
      <c r="F303" s="17" t="s">
        <v>1895</v>
      </c>
      <c r="G303" s="5" t="s">
        <v>2030</v>
      </c>
      <c r="H303" s="18"/>
    </row>
    <row r="304" spans="1:8" ht="15.95" customHeight="1">
      <c r="A304" s="5">
        <v>300</v>
      </c>
      <c r="B304" s="17" t="str">
        <f>HYPERLINK("https://www.geyseco.es/genetica24/index.php?go=programa","2024 - XVI Conference on Spanish Association of Human Genetics")</f>
        <v>2024 - XVI Conference on Spanish Association of Human Genetics</v>
      </c>
      <c r="C304" s="47" t="s">
        <v>15</v>
      </c>
      <c r="D304" s="18" t="s">
        <v>107</v>
      </c>
      <c r="E304" s="18" t="s">
        <v>1767</v>
      </c>
      <c r="F304" s="17" t="s">
        <v>1897</v>
      </c>
      <c r="G304" s="5" t="s">
        <v>2030</v>
      </c>
      <c r="H304" s="18"/>
    </row>
    <row r="305" spans="1:8" ht="15.95" customHeight="1">
      <c r="A305" s="5">
        <v>301</v>
      </c>
      <c r="B305" s="17" t="str">
        <f>HYPERLINK("https://www.geyseco.es/genetica22/index.php?go=programa","2022 - XV Conference on Spanish Association of Human Genetics")</f>
        <v>2022 - XV Conference on Spanish Association of Human Genetics</v>
      </c>
      <c r="C305" s="47" t="s">
        <v>15</v>
      </c>
      <c r="D305" s="18" t="s">
        <v>107</v>
      </c>
      <c r="E305" s="18" t="s">
        <v>1767</v>
      </c>
      <c r="F305" s="17" t="s">
        <v>1898</v>
      </c>
      <c r="G305" s="5" t="s">
        <v>2030</v>
      </c>
      <c r="H305" s="18"/>
    </row>
    <row r="306" spans="1:8" ht="15.95" customHeight="1">
      <c r="A306" s="5">
        <v>302</v>
      </c>
      <c r="B306" s="17" t="str">
        <f>HYPERLINK("https://www.geneticahumana.org/2021/documentos/IIIGENETICA2021.pdf","2021 - III Interdisciplinary Congress On Human Genetics Spanish Association of Human Genetics")</f>
        <v>2021 - III Interdisciplinary Congress On Human Genetics Spanish Association of Human Genetics</v>
      </c>
      <c r="C306" s="47" t="s">
        <v>15</v>
      </c>
      <c r="D306" s="18" t="s">
        <v>107</v>
      </c>
      <c r="E306" s="18" t="s">
        <v>1767</v>
      </c>
      <c r="F306" s="17" t="s">
        <v>1896</v>
      </c>
      <c r="G306" s="5" t="s">
        <v>2030</v>
      </c>
      <c r="H306" s="18"/>
    </row>
    <row r="307" spans="1:8" ht="15.95" customHeight="1">
      <c r="A307" s="5">
        <v>303</v>
      </c>
      <c r="B307" s="17" t="str">
        <f>HYPERLINK("https://www.geyseco.es/genetica20/index.php?go=programa","2020 - XIV Conference on Spanish Association of Human Genetics")</f>
        <v>2020 - XIV Conference on Spanish Association of Human Genetics</v>
      </c>
      <c r="C307" s="47" t="s">
        <v>15</v>
      </c>
      <c r="D307" s="18" t="s">
        <v>107</v>
      </c>
      <c r="E307" s="18" t="s">
        <v>1767</v>
      </c>
      <c r="F307" s="17" t="s">
        <v>1899</v>
      </c>
      <c r="G307" s="5" t="s">
        <v>2030</v>
      </c>
      <c r="H307" s="18"/>
    </row>
    <row r="308" spans="1:8" ht="15.95" customHeight="1">
      <c r="A308" s="5">
        <v>304</v>
      </c>
      <c r="B308" s="17" t="str">
        <f>HYPERLINK("https://www.congresoseaic.org/static/upload/ow81/events/ev514/Site/files/Programa_SEAIC23-2410.pdf","2023 - 34th National Congress of the Spanish Society of Allergology and Clinical Immunology")</f>
        <v>2023 - 34th National Congress of the Spanish Society of Allergology and Clinical Immunology</v>
      </c>
      <c r="C308" s="47" t="s">
        <v>15</v>
      </c>
      <c r="D308" s="18" t="s">
        <v>107</v>
      </c>
      <c r="E308" s="18" t="s">
        <v>456</v>
      </c>
      <c r="F308" s="17" t="s">
        <v>1119</v>
      </c>
      <c r="G308" s="5">
        <v>3</v>
      </c>
      <c r="H308" s="18"/>
    </row>
    <row r="309" spans="1:8" ht="15.95" customHeight="1">
      <c r="A309" s="5">
        <v>305</v>
      </c>
      <c r="B309" s="17" t="str">
        <f>HYPERLINK("https://www.congresoseaic.org/static/upload/ow81/events/ev327/Site/files/programa_Seaic33_comOral_posteres_2510.pdf","2021 - 33rd National Congress of the Spanish Society of Allergology and Clinical Immunology")</f>
        <v>2021 - 33rd National Congress of the Spanish Society of Allergology and Clinical Immunology</v>
      </c>
      <c r="C309" s="47" t="s">
        <v>15</v>
      </c>
      <c r="D309" s="18" t="s">
        <v>107</v>
      </c>
      <c r="E309" s="18" t="s">
        <v>456</v>
      </c>
      <c r="F309" s="17" t="s">
        <v>1120</v>
      </c>
      <c r="G309" s="5">
        <v>3</v>
      </c>
      <c r="H309" s="18"/>
    </row>
    <row r="310" spans="1:8" ht="15.95" customHeight="1">
      <c r="A310" s="5">
        <v>306</v>
      </c>
      <c r="B310" s="17" t="str">
        <f>HYPERLINK("https://www.congresoseaic.org/static/upload/ow81/events/ev353/Site/files/programa_Seaic32Virtual_ComOral_Poster0211.pdf","2020 - 32nd National Congress of the Spanish Society of Allergology and Clinical Immunology")</f>
        <v>2020 - 32nd National Congress of the Spanish Society of Allergology and Clinical Immunology</v>
      </c>
      <c r="C310" s="47" t="s">
        <v>15</v>
      </c>
      <c r="D310" s="18" t="s">
        <v>107</v>
      </c>
      <c r="E310" s="18" t="s">
        <v>456</v>
      </c>
      <c r="F310" s="17" t="s">
        <v>1121</v>
      </c>
      <c r="G310" s="5">
        <v>3</v>
      </c>
      <c r="H310" s="18"/>
    </row>
    <row r="311" spans="1:8" ht="15.95" customHeight="1">
      <c r="A311" s="5">
        <v>307</v>
      </c>
      <c r="B311" s="17" t="str">
        <f>HYPERLINK("https://segcd.org/publicaciones/3896-2/","2024 - 5th Conference on Dysmorphology Spanish Society of Clinical Genetics and Dysmorphology")</f>
        <v>2024 - 5th Conference on Dysmorphology Spanish Society of Clinical Genetics and Dysmorphology</v>
      </c>
      <c r="C311" s="47" t="s">
        <v>15</v>
      </c>
      <c r="D311" s="18" t="s">
        <v>107</v>
      </c>
      <c r="E311" s="18" t="s">
        <v>1771</v>
      </c>
      <c r="F311" s="17" t="s">
        <v>1902</v>
      </c>
      <c r="G311" s="5" t="s">
        <v>2030</v>
      </c>
      <c r="H311" s="18"/>
    </row>
    <row r="312" spans="1:8" ht="15.95" customHeight="1">
      <c r="A312" s="5">
        <v>308</v>
      </c>
      <c r="B312" s="17" t="str">
        <f>HYPERLINK("https://segcd.org/publicaciones/iv-jornada-de-dismorfologia/","2023 - 4th Conference on Dysmorphology Spanish Society of Clinical Genetics and Dysmorphology")</f>
        <v>2023 - 4th Conference on Dysmorphology Spanish Society of Clinical Genetics and Dysmorphology</v>
      </c>
      <c r="C312" s="47" t="s">
        <v>15</v>
      </c>
      <c r="D312" s="18" t="s">
        <v>107</v>
      </c>
      <c r="E312" s="18" t="s">
        <v>1771</v>
      </c>
      <c r="F312" s="17" t="s">
        <v>1903</v>
      </c>
      <c r="G312" s="5" t="s">
        <v>2030</v>
      </c>
      <c r="H312" s="18"/>
    </row>
    <row r="313" spans="1:8" ht="15.95" customHeight="1">
      <c r="A313" s="5">
        <v>309</v>
      </c>
      <c r="B313" s="17" t="str">
        <f>HYPERLINK("https://segcd.org/wp-content/uploads/2017/02/jornadasegcd2021.pdf","2021 - 3rd Conference on Dysmorphology Spanish Society of Clinical Genetics and Dysmorphology")</f>
        <v>2021 - 3rd Conference on Dysmorphology Spanish Society of Clinical Genetics and Dysmorphology</v>
      </c>
      <c r="C313" s="47" t="s">
        <v>15</v>
      </c>
      <c r="D313" s="18" t="s">
        <v>107</v>
      </c>
      <c r="E313" s="18" t="s">
        <v>1771</v>
      </c>
      <c r="F313" s="17" t="s">
        <v>1904</v>
      </c>
      <c r="G313" s="5" t="s">
        <v>2030</v>
      </c>
      <c r="H313" s="18"/>
    </row>
    <row r="314" spans="1:8" ht="15.95" customHeight="1">
      <c r="A314" s="5">
        <v>310</v>
      </c>
      <c r="B314" s="17" t="str">
        <f>HYPERLINK("https://segcd.org/wp-content/uploads/2017/02/JornadaSEGCD23.09.2020.pdf","2020 - 8th Autumn Conference on Dysmorphology Spanish Society of Clinical Genetics and Dysmorphology")</f>
        <v>2020 - 8th Autumn Conference on Dysmorphology Spanish Society of Clinical Genetics and Dysmorphology</v>
      </c>
      <c r="C314" s="47" t="s">
        <v>15</v>
      </c>
      <c r="D314" s="18" t="s">
        <v>107</v>
      </c>
      <c r="E314" s="18" t="s">
        <v>1771</v>
      </c>
      <c r="F314" s="17" t="s">
        <v>1905</v>
      </c>
      <c r="G314" s="5" t="s">
        <v>2030</v>
      </c>
      <c r="H314" s="18"/>
    </row>
    <row r="315" spans="1:8" ht="15.95" customHeight="1">
      <c r="A315" s="5">
        <v>311</v>
      </c>
      <c r="B315" s="17" t="str">
        <f>HYPERLINK("https://seicap.es/wp-content/uploads/2024/05/PROGRAMA-SEICAP-2024_V4.pdf","2024 - 48th Annual Congress of the Spanish Society of Clinical Immunology, Allergology and Pediatric Asthma")</f>
        <v>2024 - 48th Annual Congress of the Spanish Society of Clinical Immunology, Allergology and Pediatric Asthma</v>
      </c>
      <c r="C315" s="47" t="s">
        <v>15</v>
      </c>
      <c r="D315" s="18" t="s">
        <v>107</v>
      </c>
      <c r="E315" s="18" t="s">
        <v>458</v>
      </c>
      <c r="F315" s="17" t="s">
        <v>2041</v>
      </c>
      <c r="G315" s="5">
        <v>3</v>
      </c>
      <c r="H315" s="18"/>
    </row>
    <row r="316" spans="1:8" ht="15.95" customHeight="1">
      <c r="A316" s="5">
        <v>312</v>
      </c>
      <c r="B316" s="17" t="str">
        <f>HYPERLINK("https://neumoped.org/wp-content/uploads/2023/05/Programa_reunion_SEICAP-SENP_2023.pdf","2023 - 47th Annual Congress of the Spanish Society of Clinical Immunology, Allergology and Pediatric Asthma and 44th Annual Meeting of the Spanish Society of Pediatric Pulmonology")</f>
        <v>2023 - 47th Annual Congress of the Spanish Society of Clinical Immunology, Allergology and Pediatric Asthma and 44th Annual Meeting of the Spanish Society of Pediatric Pulmonology</v>
      </c>
      <c r="C316" s="47" t="s">
        <v>15</v>
      </c>
      <c r="D316" s="18" t="s">
        <v>107</v>
      </c>
      <c r="E316" s="18" t="s">
        <v>458</v>
      </c>
      <c r="F316" s="17" t="s">
        <v>1122</v>
      </c>
      <c r="G316" s="5">
        <v>3</v>
      </c>
      <c r="H316" s="18"/>
    </row>
    <row r="317" spans="1:8" ht="15.95" customHeight="1">
      <c r="A317" s="5">
        <v>313</v>
      </c>
      <c r="B317" s="17" t="str">
        <f>HYPERLINK("https://seicap.es/wp-content/uploads/2022/09/LIBRO-SEICAP-2022-v.final-1.pdf","2022 - 46th Annual Congress of the Spanish Society of Clinical Immunology, Allergology and Pediatric Asthma")</f>
        <v>2022 - 46th Annual Congress of the Spanish Society of Clinical Immunology, Allergology and Pediatric Asthma</v>
      </c>
      <c r="C317" s="47" t="s">
        <v>15</v>
      </c>
      <c r="D317" s="18" t="s">
        <v>107</v>
      </c>
      <c r="E317" s="18" t="s">
        <v>458</v>
      </c>
      <c r="F317" s="17" t="s">
        <v>1123</v>
      </c>
      <c r="G317" s="5">
        <v>3</v>
      </c>
      <c r="H317" s="18"/>
    </row>
    <row r="318" spans="1:8" ht="15.95" customHeight="1">
      <c r="A318" s="5">
        <v>314</v>
      </c>
      <c r="B318" s="17" t="str">
        <f>HYPERLINK("https://seicap.es/wp-content/uploads/2022/05/Actas-premios-comunicaciones-XLV-congreso-SEICAP-2021.pdf","2021 - 45th Annual Congress of the Spanish Society of Clinical Immunology, Allergology and Pediatric Asthma")</f>
        <v>2021 - 45th Annual Congress of the Spanish Society of Clinical Immunology, Allergology and Pediatric Asthma</v>
      </c>
      <c r="C318" s="47" t="s">
        <v>15</v>
      </c>
      <c r="D318" s="18" t="s">
        <v>107</v>
      </c>
      <c r="E318" s="18" t="s">
        <v>458</v>
      </c>
      <c r="F318" s="17" t="s">
        <v>1124</v>
      </c>
      <c r="G318" s="5">
        <v>3</v>
      </c>
      <c r="H318" s="18"/>
    </row>
    <row r="319" spans="1:8" ht="15.95" customHeight="1">
      <c r="A319" s="5">
        <v>315</v>
      </c>
      <c r="B319" s="17" t="str">
        <f>HYPERLINK("https://seicap.es/wp-content/uploads/2022/04/libro-congreso-seicap-2020_97701.pdf","2020 - 44th Annual Congress of the Spanish Society of Clinical Immunology, Allergology and Pediatric Asthma")</f>
        <v>2020 - 44th Annual Congress of the Spanish Society of Clinical Immunology, Allergology and Pediatric Asthma</v>
      </c>
      <c r="C319" s="47" t="s">
        <v>15</v>
      </c>
      <c r="D319" s="18" t="s">
        <v>107</v>
      </c>
      <c r="E319" s="18" t="s">
        <v>458</v>
      </c>
      <c r="F319" s="17" t="s">
        <v>1125</v>
      </c>
      <c r="G319" s="5">
        <v>3</v>
      </c>
      <c r="H319" s="18"/>
    </row>
    <row r="320" spans="1:8" ht="15.95" customHeight="1">
      <c r="A320" s="5">
        <v>316</v>
      </c>
      <c r="B320" s="17" t="str">
        <f>HYPERLINK("https://seagen.org/wp-content/uploads/2024/07/Jornada-Cancer-Hereditari-programa-01072024.pdf","2024 - 1st Genetic Counseling Conference for patients and families with a hereditary predisposition to cancer")</f>
        <v>2024 - 1st Genetic Counseling Conference for patients and families with a hereditary predisposition to cancer</v>
      </c>
      <c r="C320" s="47" t="s">
        <v>15</v>
      </c>
      <c r="D320" s="18" t="s">
        <v>107</v>
      </c>
      <c r="E320" s="18" t="s">
        <v>1769</v>
      </c>
      <c r="F320" s="17" t="s">
        <v>1901</v>
      </c>
      <c r="G320" s="5" t="s">
        <v>2030</v>
      </c>
      <c r="H320" s="18"/>
    </row>
    <row r="321" spans="1:8" ht="15.95" customHeight="1">
      <c r="A321" s="5">
        <v>317</v>
      </c>
      <c r="B321" s="17" t="str">
        <f>HYPERLINK("https://seagen.org/vi-jornada-espanola-de-asesoramiento-genetico/","2022 - VI Conference on Spanish Society of Genetic Counseling")</f>
        <v>2022 - VI Conference on Spanish Society of Genetic Counseling</v>
      </c>
      <c r="C321" s="47" t="s">
        <v>15</v>
      </c>
      <c r="D321" s="18" t="s">
        <v>107</v>
      </c>
      <c r="E321" s="18" t="s">
        <v>1769</v>
      </c>
      <c r="F321" s="17" t="s">
        <v>1900</v>
      </c>
      <c r="G321" s="5" t="s">
        <v>2030</v>
      </c>
      <c r="H321" s="18"/>
    </row>
    <row r="322" spans="1:8" ht="15.95" customHeight="1">
      <c r="A322" s="5">
        <v>318</v>
      </c>
      <c r="B322" s="17" t="str">
        <f>HYPERLINK("https://seg2023.segenetica.es/pdf/programa-largo-seg2023.pdf","2023 - XLIII Congress of the Spanish Society of Genetics")</f>
        <v>2023 - XLIII Congress of the Spanish Society of Genetics</v>
      </c>
      <c r="C322" s="47" t="s">
        <v>15</v>
      </c>
      <c r="D322" s="18" t="s">
        <v>107</v>
      </c>
      <c r="E322" s="18" t="s">
        <v>1773</v>
      </c>
      <c r="F322" s="17" t="s">
        <v>1906</v>
      </c>
      <c r="G322" s="5" t="s">
        <v>2030</v>
      </c>
      <c r="H322" s="18"/>
    </row>
    <row r="323" spans="1:8" ht="15.95" customHeight="1">
      <c r="A323" s="5">
        <v>319</v>
      </c>
      <c r="B323" s="17" t="str">
        <f>HYPERLINK("https://www.seg2021.es/programa/","2021 - XLII Congress of the Spanish Society of Genetics")</f>
        <v>2021 - XLII Congress of the Spanish Society of Genetics</v>
      </c>
      <c r="C323" s="47" t="s">
        <v>15</v>
      </c>
      <c r="D323" s="18" t="s">
        <v>107</v>
      </c>
      <c r="E323" s="18" t="s">
        <v>1773</v>
      </c>
      <c r="F323" s="17" t="s">
        <v>1907</v>
      </c>
      <c r="G323" s="5" t="s">
        <v>2030</v>
      </c>
      <c r="H323" s="18"/>
    </row>
    <row r="324" spans="1:8" ht="15.95" customHeight="1">
      <c r="A324" s="5">
        <v>320</v>
      </c>
      <c r="B324" s="17" t="str">
        <f>HYPERLINK("https://sei2023.es/images/site/PROGRAMA_SEI_2023_A4.pdf","2023 - 44th Congress of the Spanish Society of Immunology")</f>
        <v>2023 - 44th Congress of the Spanish Society of Immunology</v>
      </c>
      <c r="C324" s="47" t="s">
        <v>15</v>
      </c>
      <c r="D324" s="18" t="s">
        <v>107</v>
      </c>
      <c r="E324" s="18" t="s">
        <v>408</v>
      </c>
      <c r="F324" s="17" t="s">
        <v>928</v>
      </c>
      <c r="G324" s="5">
        <v>3</v>
      </c>
      <c r="H324" s="18"/>
    </row>
    <row r="325" spans="1:8" ht="15.95" customHeight="1">
      <c r="A325" s="5">
        <v>321</v>
      </c>
      <c r="B325" s="17" t="str">
        <f>HYPERLINK("https://sei2022.com/images/PROGRAMA_SEI_2022_a4.pdf","2022 - 43rd Congress of the Spanish Society of Immunology")</f>
        <v>2022 - 43rd Congress of the Spanish Society of Immunology</v>
      </c>
      <c r="C325" s="47" t="s">
        <v>15</v>
      </c>
      <c r="D325" s="18" t="s">
        <v>107</v>
      </c>
      <c r="E325" s="18" t="s">
        <v>408</v>
      </c>
      <c r="F325" s="17" t="s">
        <v>929</v>
      </c>
      <c r="G325" s="5">
        <v>3</v>
      </c>
      <c r="H325" s="18"/>
    </row>
    <row r="326" spans="1:8" ht="15.95" customHeight="1">
      <c r="A326" s="5">
        <v>322</v>
      </c>
      <c r="B326" s="17" t="str">
        <f>HYPERLINK("https://www.inmunologia.org/images/site/sei-2021_program-final.pdf","2021 - 42nd Congress of the Spanish Society of Immunology")</f>
        <v>2021 - 42nd Congress of the Spanish Society of Immunology</v>
      </c>
      <c r="C326" s="47" t="s">
        <v>15</v>
      </c>
      <c r="D326" s="18" t="s">
        <v>107</v>
      </c>
      <c r="E326" s="18" t="s">
        <v>408</v>
      </c>
      <c r="F326" s="17" t="s">
        <v>930</v>
      </c>
      <c r="G326" s="5">
        <v>3</v>
      </c>
      <c r="H326" s="18"/>
    </row>
    <row r="327" spans="1:8" ht="15.95" customHeight="1">
      <c r="A327" s="5">
        <v>323</v>
      </c>
      <c r="B327" s="17" t="str">
        <f>HYPERLINK("https://www.turkimmunoloji.org/assets/2024/26.-UiK-bildiri-kitabi.pdf","2023 - XXVIth National Immunology Congress of the Turkish Immunology Association")</f>
        <v>2023 - XXVIth National Immunology Congress of the Turkish Immunology Association</v>
      </c>
      <c r="C327" s="47" t="s">
        <v>15</v>
      </c>
      <c r="D327" s="18" t="s">
        <v>2043</v>
      </c>
      <c r="E327" s="18" t="s">
        <v>410</v>
      </c>
      <c r="F327" s="17" t="s">
        <v>1021</v>
      </c>
      <c r="G327" s="5">
        <v>3</v>
      </c>
      <c r="H327" s="18"/>
    </row>
    <row r="328" spans="1:8" ht="15.95" customHeight="1">
      <c r="A328" s="5">
        <v>324</v>
      </c>
      <c r="B328" s="17" t="str">
        <f>HYPERLINK("https://www.turkimmunoloji.org/assets/2020-XXV.-Ulusal-immunoloji-Kongresi_compressed.pdf","2020 - XXVth National Immunology Congress of the Turkish Immunology Association")</f>
        <v>2020 - XXVth National Immunology Congress of the Turkish Immunology Association</v>
      </c>
      <c r="C328" s="47" t="s">
        <v>15</v>
      </c>
      <c r="D328" s="18" t="s">
        <v>2043</v>
      </c>
      <c r="E328" s="18" t="s">
        <v>410</v>
      </c>
      <c r="F328" s="17" t="s">
        <v>1022</v>
      </c>
      <c r="G328" s="5">
        <v>3</v>
      </c>
      <c r="H328" s="18"/>
    </row>
    <row r="329" spans="1:8" ht="15.95" customHeight="1">
      <c r="A329" s="5">
        <v>325</v>
      </c>
      <c r="B329" s="17" t="str">
        <f>HYPERLINK("https://www.klinikimmunoloji.com/","2024 - 10th Clinical Immunology Congress of the Turkish Clinical Immunology Society")</f>
        <v>2024 - 10th Clinical Immunology Congress of the Turkish Clinical Immunology Society</v>
      </c>
      <c r="C329" s="47" t="s">
        <v>15</v>
      </c>
      <c r="D329" s="18" t="s">
        <v>2043</v>
      </c>
      <c r="E329" s="18" t="s">
        <v>412</v>
      </c>
      <c r="F329" s="17" t="s">
        <v>1023</v>
      </c>
      <c r="G329" s="5">
        <v>3</v>
      </c>
      <c r="H329" s="18"/>
    </row>
    <row r="330" spans="1:8" ht="15.95" customHeight="1">
      <c r="A330" s="5">
        <v>326</v>
      </c>
      <c r="B330" s="17" t="str">
        <f>HYPERLINK("https://www.klinikimmunoloji.com/dosyalar/9.Kongre-Programi.pdf","2023 - 9th Clinical Immunology Congress of the Turkish Clinical Immunology Society")</f>
        <v>2023 - 9th Clinical Immunology Congress of the Turkish Clinical Immunology Society</v>
      </c>
      <c r="C330" s="47" t="s">
        <v>15</v>
      </c>
      <c r="D330" s="18" t="s">
        <v>2043</v>
      </c>
      <c r="E330" s="18" t="s">
        <v>412</v>
      </c>
      <c r="F330" s="17" t="s">
        <v>1024</v>
      </c>
      <c r="G330" s="5">
        <v>3</v>
      </c>
      <c r="H330" s="18"/>
    </row>
    <row r="331" spans="1:8" ht="15.95" customHeight="1">
      <c r="A331" s="5">
        <v>327</v>
      </c>
      <c r="B331" s="17" t="str">
        <f>HYPERLINK("https://www.kongreuzmani.com/8-klinik-immunoloji-kongresi-1.html","2022 - 8th Clinical Immunology Congress of the Turkish Clinical Immunology Society")</f>
        <v>2022 - 8th Clinical Immunology Congress of the Turkish Clinical Immunology Society</v>
      </c>
      <c r="C331" s="47" t="s">
        <v>15</v>
      </c>
      <c r="D331" s="18" t="s">
        <v>2043</v>
      </c>
      <c r="E331" s="18" t="s">
        <v>412</v>
      </c>
      <c r="F331" s="17" t="s">
        <v>1025</v>
      </c>
      <c r="G331" s="5">
        <v>3</v>
      </c>
      <c r="H331" s="18"/>
    </row>
    <row r="332" spans="1:8" ht="15.95" customHeight="1">
      <c r="A332" s="5">
        <v>328</v>
      </c>
      <c r="B332" s="17" t="str">
        <f>HYPERLINK("https://www.kongreuzmani.com/7-klinik-immunoloji-kongresi.html","2021 - 7th Clinical Immunology Congress of the Turkish Clinical Immunology Society")</f>
        <v>2021 - 7th Clinical Immunology Congress of the Turkish Clinical Immunology Society</v>
      </c>
      <c r="C332" s="47" t="s">
        <v>15</v>
      </c>
      <c r="D332" s="18" t="s">
        <v>2043</v>
      </c>
      <c r="E332" s="18" t="s">
        <v>412</v>
      </c>
      <c r="F332" s="17" t="s">
        <v>1026</v>
      </c>
      <c r="G332" s="5">
        <v>3</v>
      </c>
      <c r="H332" s="18"/>
    </row>
    <row r="333" spans="1:8" ht="15.95" customHeight="1">
      <c r="A333" s="5">
        <v>329</v>
      </c>
      <c r="B333" s="17" t="str">
        <f>HYPERLINK("https://www.kongreuzmani.com/6-klinik-immunoloji-kongresi.html","2020 - 6th Clinical Immunology Congress of the Turkish Clinical Immunology Society")</f>
        <v>2020 - 6th Clinical Immunology Congress of the Turkish Clinical Immunology Society</v>
      </c>
      <c r="C333" s="47" t="s">
        <v>15</v>
      </c>
      <c r="D333" s="18" t="s">
        <v>2043</v>
      </c>
      <c r="E333" s="18" t="s">
        <v>412</v>
      </c>
      <c r="F333" s="17" t="s">
        <v>1027</v>
      </c>
      <c r="G333" s="5">
        <v>3</v>
      </c>
      <c r="H333" s="18"/>
    </row>
    <row r="334" spans="1:8" ht="15.95" customHeight="1">
      <c r="A334" s="5">
        <v>330</v>
      </c>
      <c r="B334" s="17" t="str">
        <f>HYPERLINK("https://alerjikongresi.com/bilimsel-program/","2024 - XXX National Congress of Allergy and Clinical Immunology of the Turkish National Society of Allergy and Clinical Immunology")</f>
        <v>2024 - XXX National Congress of Allergy and Clinical Immunology of the Turkish National Society of Allergy and Clinical Immunology</v>
      </c>
      <c r="C334" s="47" t="s">
        <v>15</v>
      </c>
      <c r="D334" s="18" t="s">
        <v>2043</v>
      </c>
      <c r="E334" s="18" t="s">
        <v>460</v>
      </c>
      <c r="F334" s="17" t="s">
        <v>1037</v>
      </c>
      <c r="G334" s="5">
        <v>3</v>
      </c>
      <c r="H334" s="18"/>
    </row>
    <row r="335" spans="1:8" ht="15.95" customHeight="1">
      <c r="A335" s="5">
        <v>331</v>
      </c>
      <c r="B335" s="17" t="str">
        <f>HYPERLINK("https://allerji.kongresi.info/docs/Allerji%202023%20program.pdf?a=200","2023 - XXIX National Congress of Allergy and Clinical Immunology of the Turkish National Society of Allergy and Clinical Immunology")</f>
        <v>2023 - XXIX National Congress of Allergy and Clinical Immunology of the Turkish National Society of Allergy and Clinical Immunology</v>
      </c>
      <c r="C335" s="47" t="s">
        <v>15</v>
      </c>
      <c r="D335" s="18" t="s">
        <v>2043</v>
      </c>
      <c r="E335" s="18" t="s">
        <v>460</v>
      </c>
      <c r="F335" s="17" t="s">
        <v>1038</v>
      </c>
      <c r="G335" s="5">
        <v>3</v>
      </c>
      <c r="H335" s="18"/>
    </row>
    <row r="336" spans="1:8" ht="15.95" customHeight="1">
      <c r="A336" s="5">
        <v>332</v>
      </c>
      <c r="B336" s="17" t="str">
        <f>HYPERLINK("https://www.aid.org.tr/xxviii-ulusal-alerji-ve-immunoloji-kongresi-ardindan-2021/","2021 - XXVIII National Congress of Allergy and Clinical Immunology of the Turkish National Society of Allergy and Clinical Immunology")</f>
        <v>2021 - XXVIII National Congress of Allergy and Clinical Immunology of the Turkish National Society of Allergy and Clinical Immunology</v>
      </c>
      <c r="C336" s="47" t="s">
        <v>15</v>
      </c>
      <c r="D336" s="18" t="s">
        <v>2043</v>
      </c>
      <c r="E336" s="18" t="s">
        <v>460</v>
      </c>
      <c r="F336" s="17" t="s">
        <v>1039</v>
      </c>
      <c r="G336" s="5">
        <v>3</v>
      </c>
      <c r="H336" s="18"/>
    </row>
    <row r="337" spans="1:8" ht="15.95" customHeight="1">
      <c r="A337" s="5">
        <v>333</v>
      </c>
      <c r="B337" s="17" t="str">
        <f>HYPERLINK("https://www.aid.org.tr/xxvii-ulusal-alerji-ve-immunoloji-kongresi-24-28-ekim-2020/","2020 - XXVII National Congress of Allergy and Clinical Immunology of the Turkish National Society of Allergy and Clinical Immunology")</f>
        <v>2020 - XXVII National Congress of Allergy and Clinical Immunology of the Turkish National Society of Allergy and Clinical Immunology</v>
      </c>
      <c r="C337" s="47" t="s">
        <v>15</v>
      </c>
      <c r="D337" s="18" t="s">
        <v>2043</v>
      </c>
      <c r="E337" s="18" t="s">
        <v>460</v>
      </c>
      <c r="F337" s="17" t="s">
        <v>1040</v>
      </c>
      <c r="G337" s="5">
        <v>3</v>
      </c>
      <c r="H337" s="18"/>
    </row>
    <row r="338" spans="1:8" ht="15.95" customHeight="1">
      <c r="A338" s="5">
        <v>334</v>
      </c>
      <c r="B338" s="17" t="str">
        <f>HYPERLINK("https://tibbigenetik2024.com/program","2024 - 16th National Congress of Medical Genetics Turkish Society For Medical Genetics")</f>
        <v>2024 - 16th National Congress of Medical Genetics Turkish Society For Medical Genetics</v>
      </c>
      <c r="C338" s="47" t="s">
        <v>15</v>
      </c>
      <c r="D338" s="18" t="s">
        <v>2043</v>
      </c>
      <c r="E338" s="18" t="s">
        <v>1765</v>
      </c>
      <c r="F338" s="17" t="s">
        <v>1890</v>
      </c>
      <c r="G338" s="5" t="s">
        <v>2030</v>
      </c>
      <c r="H338" s="18"/>
    </row>
    <row r="339" spans="1:8" ht="15.95" customHeight="1">
      <c r="A339" s="5">
        <v>335</v>
      </c>
      <c r="B339" s="17" t="str">
        <f>HYPERLINK("https://yonetim.citius.technology/files/kurum/kurum75/menu/hog2023-bildiri-kitabi310523.pdf","2023 - 2nd National Congress Hemato Onco Genetics Turkish Society For Medical Genetics")</f>
        <v>2023 - 2nd National Congress Hemato Onco Genetics Turkish Society For Medical Genetics</v>
      </c>
      <c r="C339" s="47" t="s">
        <v>15</v>
      </c>
      <c r="D339" s="18" t="s">
        <v>2043</v>
      </c>
      <c r="E339" s="18" t="s">
        <v>1765</v>
      </c>
      <c r="F339" s="17" t="s">
        <v>1893</v>
      </c>
      <c r="G339" s="5" t="s">
        <v>2030</v>
      </c>
      <c r="H339" s="18"/>
    </row>
    <row r="340" spans="1:8" ht="15.95" customHeight="1">
      <c r="A340" s="5">
        <v>336</v>
      </c>
      <c r="B340" s="17" t="str">
        <f>HYPERLINK("https://yonetim.citius.technology/files/kurum/kurum75/menu/tibbi-genetik-2022-bildiri-kitabi-2.pdf","2022 - 15th National Congress of Medical Genetics Turkish Society For Medical Genetics")</f>
        <v>2022 - 15th National Congress of Medical Genetics Turkish Society For Medical Genetics</v>
      </c>
      <c r="C340" s="47" t="s">
        <v>15</v>
      </c>
      <c r="D340" s="18" t="s">
        <v>2043</v>
      </c>
      <c r="E340" s="18" t="s">
        <v>1765</v>
      </c>
      <c r="F340" s="17" t="s">
        <v>1891</v>
      </c>
      <c r="G340" s="5" t="s">
        <v>2030</v>
      </c>
      <c r="H340" s="18"/>
    </row>
    <row r="341" spans="1:8" ht="15.95" customHeight="1">
      <c r="A341" s="5">
        <v>337</v>
      </c>
      <c r="B341" s="17" t="str">
        <f>HYPERLINK("https://yonetim.citius.technology//menu/menu672/hog2021-kitap.pdf","2021 - 1st National Congress Hemato Onco Genetics Turkish Society For Medical Genetics")</f>
        <v>2021 - 1st National Congress Hemato Onco Genetics Turkish Society For Medical Genetics</v>
      </c>
      <c r="C341" s="47" t="s">
        <v>15</v>
      </c>
      <c r="D341" s="18" t="s">
        <v>2043</v>
      </c>
      <c r="E341" s="18" t="s">
        <v>1765</v>
      </c>
      <c r="F341" s="17" t="s">
        <v>1894</v>
      </c>
      <c r="G341" s="5" t="s">
        <v>2030</v>
      </c>
      <c r="H341" s="18"/>
    </row>
    <row r="342" spans="1:8" ht="15.95" customHeight="1">
      <c r="A342" s="5">
        <v>338</v>
      </c>
      <c r="B342" s="17" t="str">
        <f>HYPERLINK("https://yonetim.citius.technology//menu/menu672/genetik2020-kongre-kitabi.pdf","2020 - 14th National Congress of Medical Genetics Turkish Society For Medical Genetics")</f>
        <v>2020 - 14th National Congress of Medical Genetics Turkish Society For Medical Genetics</v>
      </c>
      <c r="C342" s="47" t="s">
        <v>15</v>
      </c>
      <c r="D342" s="18" t="s">
        <v>2043</v>
      </c>
      <c r="E342" s="18" t="s">
        <v>1765</v>
      </c>
      <c r="F342" s="17" t="s">
        <v>1892</v>
      </c>
      <c r="G342" s="5" t="s">
        <v>2030</v>
      </c>
      <c r="H342" s="18"/>
    </row>
    <row r="343" spans="1:8" ht="15.95" customHeight="1">
      <c r="A343" s="5">
        <v>339</v>
      </c>
      <c r="B343" s="17" t="str">
        <f>HYPERLINK("https://bsaciconference.org/wp-content/uploads/2024/09/BSACI-2024-programme-for-website_05-09-24.pdf","2024 - BSACI Allergy and Clinical Immunology Conference The Power of Data, the Power of People")</f>
        <v>2024 - BSACI Allergy and Clinical Immunology Conference The Power of Data, the Power of People</v>
      </c>
      <c r="C343" s="47" t="s">
        <v>15</v>
      </c>
      <c r="D343" s="18" t="s">
        <v>17</v>
      </c>
      <c r="E343" s="18" t="s">
        <v>462</v>
      </c>
      <c r="F343" s="17" t="s">
        <v>1041</v>
      </c>
      <c r="G343" s="5">
        <v>3</v>
      </c>
      <c r="H343" s="18"/>
    </row>
    <row r="344" spans="1:8" ht="15.95" customHeight="1">
      <c r="A344" s="5">
        <v>340</v>
      </c>
      <c r="B344" s="17" t="str">
        <f>HYPERLINK("https://www.bsaci.org/education-and-events/meetings/past-bsaci-conference-photos/bsaci-annual-conference-2023/","2023 - BSACI Allergy and Clinical Immunology Conference The Power of Data, the Power of People")</f>
        <v>2023 - BSACI Allergy and Clinical Immunology Conference The Power of Data, the Power of People</v>
      </c>
      <c r="C344" s="47" t="s">
        <v>15</v>
      </c>
      <c r="D344" s="18" t="s">
        <v>17</v>
      </c>
      <c r="E344" s="18" t="s">
        <v>462</v>
      </c>
      <c r="F344" s="17" t="s">
        <v>1042</v>
      </c>
      <c r="G344" s="5">
        <v>3</v>
      </c>
      <c r="H344" s="18"/>
    </row>
    <row r="345" spans="1:8" ht="15.95" customHeight="1">
      <c r="A345" s="5">
        <v>341</v>
      </c>
      <c r="B345" s="17" t="str">
        <f>HYPERLINK("https://www.bsaci.org/education-and-events/meetings/past-bsaci-conference-photos/wao-bsaci-2022-uk-conference/","2022 - BSACI Allergy and Clinical Immunology Conference The Power of Data, the Power of People")</f>
        <v>2022 - BSACI Allergy and Clinical Immunology Conference The Power of Data, the Power of People</v>
      </c>
      <c r="C345" s="47" t="s">
        <v>15</v>
      </c>
      <c r="D345" s="18" t="s">
        <v>17</v>
      </c>
      <c r="E345" s="18" t="s">
        <v>462</v>
      </c>
      <c r="F345" s="17" t="s">
        <v>1043</v>
      </c>
      <c r="G345" s="5">
        <v>3</v>
      </c>
      <c r="H345" s="18"/>
    </row>
    <row r="346" spans="1:8" ht="15.95" customHeight="1">
      <c r="A346" s="5">
        <v>342</v>
      </c>
      <c r="B346" s="17" t="str">
        <f>HYPERLINK("https://www.bsaci.org/education-and-events/meetings/past-bsaci-conference-photos/2021-bsaci-conference/","2021 - BSACI Allergy and Clinical Immunology Conference The Power of Data, the Power of People")</f>
        <v>2021 - BSACI Allergy and Clinical Immunology Conference The Power of Data, the Power of People</v>
      </c>
      <c r="C346" s="47" t="s">
        <v>15</v>
      </c>
      <c r="D346" s="18" t="s">
        <v>17</v>
      </c>
      <c r="E346" s="18" t="s">
        <v>462</v>
      </c>
      <c r="F346" s="17" t="s">
        <v>1044</v>
      </c>
      <c r="G346" s="5">
        <v>3</v>
      </c>
      <c r="H346" s="18"/>
    </row>
    <row r="347" spans="1:8" ht="15.95" customHeight="1">
      <c r="A347" s="5">
        <v>343</v>
      </c>
      <c r="B347" s="17" t="str">
        <f>HYPERLINK("https://www.bsgct.org/_files/ugd/0f1a36_364bd3686d4b464487e1f070cc1ff401.pdf","2024 - Annual Conference of the British Society for Gene and Cell Therapy")</f>
        <v>2024 - Annual Conference of the British Society for Gene and Cell Therapy</v>
      </c>
      <c r="C347" s="47" t="s">
        <v>15</v>
      </c>
      <c r="D347" s="18" t="s">
        <v>17</v>
      </c>
      <c r="E347" s="18" t="s">
        <v>1801</v>
      </c>
      <c r="F347" s="17" t="s">
        <v>1924</v>
      </c>
      <c r="G347" s="5" t="s">
        <v>2030</v>
      </c>
      <c r="H347" s="18"/>
    </row>
    <row r="348" spans="1:8" ht="15.95" customHeight="1">
      <c r="A348" s="5">
        <v>344</v>
      </c>
      <c r="B348" s="17" t="str">
        <f>HYPERLINK("https://d6a27bf6-9c2f-4d3f-8359-1cb2d86b3d4d.usrfiles.com/ugd/d6a27b_1712fb4f7c4147b7a1993ed2456dd769.pdf","2023 - Annual Conference of the British Society for Gene and Cell Therapy")</f>
        <v>2023 - Annual Conference of the British Society for Gene and Cell Therapy</v>
      </c>
      <c r="C348" s="47" t="s">
        <v>15</v>
      </c>
      <c r="D348" s="18" t="s">
        <v>17</v>
      </c>
      <c r="E348" s="18" t="s">
        <v>1801</v>
      </c>
      <c r="F348" s="17" t="s">
        <v>1925</v>
      </c>
      <c r="G348" s="5" t="s">
        <v>2030</v>
      </c>
      <c r="H348" s="18"/>
    </row>
    <row r="349" spans="1:8" ht="15.95" customHeight="1">
      <c r="A349" s="5">
        <v>345</v>
      </c>
      <c r="B349" s="17" t="str">
        <f>HYPERLINK("https://d6a27bf6-9c2f-4d3f-8359-1cb2d86b3d4d.usrfiles.com/ugd/d6a27b_5a477eaf795e4b5ebab05611f57dbf97.pdf","2022 - Annual Conference of the British Society for Gene and Cell Therapy")</f>
        <v>2022 - Annual Conference of the British Society for Gene and Cell Therapy</v>
      </c>
      <c r="C349" s="47" t="s">
        <v>15</v>
      </c>
      <c r="D349" s="18" t="s">
        <v>17</v>
      </c>
      <c r="E349" s="18" t="s">
        <v>1926</v>
      </c>
      <c r="F349" s="17" t="s">
        <v>1927</v>
      </c>
      <c r="G349" s="5" t="s">
        <v>2030</v>
      </c>
      <c r="H349" s="18"/>
    </row>
    <row r="350" spans="1:8" ht="15.95" customHeight="1">
      <c r="A350" s="5">
        <v>346</v>
      </c>
      <c r="B350" s="17" t="str">
        <f>HYPERLINK("https://public.rsb.org.uk/BSGM%20Conference%202024%20Preliminary%20Programme%20-%2011-09-2024.pdf","2024 - Annual Conference on The British Society for Genetic Medicine")</f>
        <v>2024 - Annual Conference on The British Society for Genetic Medicine</v>
      </c>
      <c r="C350" s="47" t="s">
        <v>15</v>
      </c>
      <c r="D350" s="18" t="s">
        <v>17</v>
      </c>
      <c r="E350" s="18" t="s">
        <v>1758</v>
      </c>
      <c r="F350" s="17" t="s">
        <v>1876</v>
      </c>
      <c r="G350" s="5" t="s">
        <v>2030</v>
      </c>
      <c r="H350" s="18"/>
    </row>
    <row r="351" spans="1:8" ht="15.95" customHeight="1">
      <c r="A351" s="5">
        <v>347</v>
      </c>
      <c r="B351" s="17" t="str">
        <f>HYPERLINK("https://bsgm.org.uk/events/bsgm-annual-meeting-uk-clinical-genomics-2022/","2022 - Annual Conference on The British Society for Genetic Medicine")</f>
        <v>2022 - Annual Conference on The British Society for Genetic Medicine</v>
      </c>
      <c r="C351" s="47" t="s">
        <v>15</v>
      </c>
      <c r="D351" s="18" t="s">
        <v>17</v>
      </c>
      <c r="E351" s="18" t="s">
        <v>1758</v>
      </c>
      <c r="F351" s="17" t="s">
        <v>1877</v>
      </c>
      <c r="G351" s="5" t="s">
        <v>2030</v>
      </c>
      <c r="H351" s="18"/>
    </row>
    <row r="352" spans="1:8" ht="15.95" customHeight="1">
      <c r="A352" s="5">
        <v>348</v>
      </c>
      <c r="B352" s="17" t="str">
        <f>HYPERLINK("https://bsgm.org.uk/media/11767/bsgm-acgs-uk-clinical-genomics-2021-programme.pdf","2021 - Annual Conference on The British Society for Genetic Medicine")</f>
        <v>2021 - Annual Conference on The British Society for Genetic Medicine</v>
      </c>
      <c r="C352" s="47" t="s">
        <v>15</v>
      </c>
      <c r="D352" s="18" t="s">
        <v>17</v>
      </c>
      <c r="E352" s="18" t="s">
        <v>1758</v>
      </c>
      <c r="F352" s="17" t="s">
        <v>1878</v>
      </c>
      <c r="G352" s="5" t="s">
        <v>2030</v>
      </c>
      <c r="H352" s="18"/>
    </row>
    <row r="353" spans="1:8" ht="15.95" customHeight="1">
      <c r="A353" s="5">
        <v>349</v>
      </c>
      <c r="B353" s="17" t="str">
        <f>HYPERLINK("https://bshiconference.org.uk/wp-content/uploads/2024/08/V12-DRAFT-BSHI-2024-Provisional-Programme_speaker-3.pdf","2024 - 34th Annual Conference on British Society for Histocompatibility &amp; Immunogenetics")</f>
        <v>2024 - 34th Annual Conference on British Society for Histocompatibility &amp; Immunogenetics</v>
      </c>
      <c r="C353" s="47" t="s">
        <v>15</v>
      </c>
      <c r="D353" s="18" t="s">
        <v>17</v>
      </c>
      <c r="E353" s="18" t="s">
        <v>414</v>
      </c>
      <c r="F353" s="17" t="s">
        <v>1098</v>
      </c>
      <c r="G353" s="5">
        <v>3</v>
      </c>
      <c r="H353" s="18"/>
    </row>
    <row r="354" spans="1:8" ht="15.95" customHeight="1">
      <c r="A354" s="5">
        <v>350</v>
      </c>
      <c r="B354" s="17" t="str">
        <f>HYPERLINK("https://bshi.org.uk/wp-content/uploads/2023/10/BSHI-2023-Programme-FINAL.pdf","2023 - 33rd Annual Conference on British Society for Histocompatibility &amp; Immunogenetics")</f>
        <v>2023 - 33rd Annual Conference on British Society for Histocompatibility &amp; Immunogenetics</v>
      </c>
      <c r="C354" s="47" t="s">
        <v>15</v>
      </c>
      <c r="D354" s="18" t="s">
        <v>17</v>
      </c>
      <c r="E354" s="18" t="s">
        <v>414</v>
      </c>
      <c r="F354" s="17" t="s">
        <v>1099</v>
      </c>
      <c r="G354" s="5">
        <v>3</v>
      </c>
      <c r="H354" s="18"/>
    </row>
    <row r="355" spans="1:8" ht="15.95" customHeight="1">
      <c r="A355" s="5">
        <v>351</v>
      </c>
      <c r="B355" s="17" t="str">
        <f>HYPERLINK("https://bshi.org.uk/wp-content/uploads/2022/12/BSHI-Conference-2022-Programme.pdf","2022 - 32nd Annual Conference on British Society for Histocompatibility &amp; Immunogenetics")</f>
        <v>2022 - 32nd Annual Conference on British Society for Histocompatibility &amp; Immunogenetics</v>
      </c>
      <c r="C355" s="47" t="s">
        <v>15</v>
      </c>
      <c r="D355" s="18" t="s">
        <v>17</v>
      </c>
      <c r="E355" s="18" t="s">
        <v>414</v>
      </c>
      <c r="F355" s="17" t="s">
        <v>1100</v>
      </c>
      <c r="G355" s="5">
        <v>3</v>
      </c>
      <c r="H355" s="18"/>
    </row>
    <row r="356" spans="1:8" ht="15.95" customHeight="1">
      <c r="A356" s="5">
        <v>352</v>
      </c>
      <c r="B356" s="17" t="str">
        <f>HYPERLINK("https://az659834.vo.msecnd.net/eventsairwesteuprod/production-fitwise-public/96ac5a3843cd48889742b7f1373fabe2","2021 - 31st Annual Conference on British Society for Histocompatibility &amp; Immunogenetics and")</f>
        <v>2021 - 31st Annual Conference on British Society for Histocompatibility &amp; Immunogenetics and</v>
      </c>
      <c r="C356" s="47" t="s">
        <v>15</v>
      </c>
      <c r="D356" s="18" t="s">
        <v>17</v>
      </c>
      <c r="E356" s="18" t="s">
        <v>1101</v>
      </c>
      <c r="F356" s="17" t="s">
        <v>1102</v>
      </c>
      <c r="G356" s="5">
        <v>3</v>
      </c>
      <c r="H356" s="18"/>
    </row>
    <row r="357" spans="1:8" ht="15.95" customHeight="1">
      <c r="A357" s="5">
        <v>353</v>
      </c>
      <c r="B357" s="17" t="str">
        <f>HYPERLINK("https://web-eur.cvent.com/event/f10e3b8a-5e7f-4e26-990b-c456da6962b4/websitePage:a63c041f-03a1-4e8f-a666-0710e9619105","2024 - Annual Conference on British Society for Immunology Clinical Immunology Professional Network")</f>
        <v>2024 - Annual Conference on British Society for Immunology Clinical Immunology Professional Network</v>
      </c>
      <c r="C357" s="47" t="s">
        <v>15</v>
      </c>
      <c r="D357" s="18" t="s">
        <v>17</v>
      </c>
      <c r="E357" s="18" t="s">
        <v>416</v>
      </c>
      <c r="F357" s="17" t="s">
        <v>1107</v>
      </c>
      <c r="G357" s="5">
        <v>3</v>
      </c>
      <c r="H357" s="18"/>
    </row>
    <row r="358" spans="1:8" ht="15.95" customHeight="1">
      <c r="A358" s="5">
        <v>354</v>
      </c>
      <c r="B358" s="17" t="str">
        <f>HYPERLINK("https://cdn.eventsforce.net/files/ef-divra5y5642a/website/13/bsi_congress_2023_programme_overview.pdf","2023 - Annual Congress of the British Society for Immunology and Annual Conference on British Society for Immunology Clinical Immunology Professional Network")</f>
        <v>2023 - Annual Congress of the British Society for Immunology and Annual Conference on British Society for Immunology Clinical Immunology Professional Network</v>
      </c>
      <c r="C358" s="47" t="s">
        <v>15</v>
      </c>
      <c r="D358" s="18" t="s">
        <v>17</v>
      </c>
      <c r="E358" s="18" t="s">
        <v>416</v>
      </c>
      <c r="F358" s="17" t="s">
        <v>1103</v>
      </c>
      <c r="G358" s="5">
        <v>3</v>
      </c>
      <c r="H358" s="18"/>
    </row>
    <row r="359" spans="1:8" ht="15.95" customHeight="1">
      <c r="A359" s="5">
        <v>355</v>
      </c>
      <c r="B359" s="17" t="str">
        <f>HYPERLINK("https://www.immunology.org/events/british-society-immunology-congress-2022","2022 - Annual Congress of the British Society for Immunology")</f>
        <v>2022 - Annual Congress of the British Society for Immunology</v>
      </c>
      <c r="C359" s="47" t="s">
        <v>15</v>
      </c>
      <c r="D359" s="18" t="s">
        <v>17</v>
      </c>
      <c r="E359" s="18" t="s">
        <v>416</v>
      </c>
      <c r="F359" s="17" t="s">
        <v>1104</v>
      </c>
      <c r="G359" s="5">
        <v>3</v>
      </c>
      <c r="H359" s="18"/>
    </row>
    <row r="360" spans="1:8" ht="15.95" customHeight="1">
      <c r="A360" s="5">
        <v>356</v>
      </c>
      <c r="B360" s="17" t="str">
        <f>HYPERLINK("https://www.immunology.org/events/bsi-congress","2021 - Annual Congress of the British Society for Immunology")</f>
        <v>2021 - Annual Congress of the British Society for Immunology</v>
      </c>
      <c r="C360" s="47" t="s">
        <v>15</v>
      </c>
      <c r="D360" s="18" t="s">
        <v>17</v>
      </c>
      <c r="E360" s="18" t="s">
        <v>416</v>
      </c>
      <c r="F360" s="17" t="s">
        <v>1105</v>
      </c>
      <c r="G360" s="5">
        <v>3</v>
      </c>
      <c r="H360" s="18"/>
    </row>
    <row r="361" spans="1:8" ht="15.95" customHeight="1">
      <c r="A361" s="5">
        <v>357</v>
      </c>
      <c r="B361" s="17" t="str">
        <f>HYPERLINK("https://cdn.eventsforce.net/files/ef-divra5y5642a/website/5/5615_bsi_virtual_conference_pdf_programme_final.pdf","2020 - Annual Congress of the British Society for Immunology")</f>
        <v>2020 - Annual Congress of the British Society for Immunology</v>
      </c>
      <c r="C361" s="47" t="s">
        <v>15</v>
      </c>
      <c r="D361" s="18" t="s">
        <v>17</v>
      </c>
      <c r="E361" s="18" t="s">
        <v>416</v>
      </c>
      <c r="F361" s="17" t="s">
        <v>1106</v>
      </c>
      <c r="G361" s="5">
        <v>3</v>
      </c>
      <c r="H361" s="18"/>
    </row>
    <row r="362" spans="1:8" ht="15.95" customHeight="1">
      <c r="A362" s="5">
        <v>358</v>
      </c>
      <c r="B362" s="17" t="str">
        <f>HYPERLINK("https://public.rsb.org.uk/Draft%20Programme%20-%20GenSoc%20Nov%202024.pdf","2024 - Meeting on Genetics Society")</f>
        <v>2024 - Meeting on Genetics Society</v>
      </c>
      <c r="C362" s="47" t="s">
        <v>15</v>
      </c>
      <c r="D362" s="18" t="s">
        <v>17</v>
      </c>
      <c r="E362" s="18" t="s">
        <v>1760</v>
      </c>
      <c r="F362" s="17" t="s">
        <v>1879</v>
      </c>
      <c r="G362" s="5" t="s">
        <v>2030</v>
      </c>
      <c r="H362" s="18"/>
    </row>
    <row r="363" spans="1:8" ht="15.95" customHeight="1">
      <c r="A363" s="5">
        <v>359</v>
      </c>
      <c r="B363" s="17" t="str">
        <f>HYPERLINK("https://genetics.org.uk/wp-content/uploads/2018/06/Genetics_of_Future_Food_Production_programme_v1.pdf","2023 - Meeting on Genetics Society")</f>
        <v>2023 - Meeting on Genetics Society</v>
      </c>
      <c r="C363" s="47" t="s">
        <v>15</v>
      </c>
      <c r="D363" s="18" t="s">
        <v>17</v>
      </c>
      <c r="E363" s="18" t="s">
        <v>1760</v>
      </c>
      <c r="F363" s="17" t="s">
        <v>1880</v>
      </c>
      <c r="G363" s="5" t="s">
        <v>2030</v>
      </c>
      <c r="H363" s="18"/>
    </row>
    <row r="364" spans="1:8" ht="15.95" customHeight="1">
      <c r="A364" s="5">
        <v>360</v>
      </c>
      <c r="B364" s="17" t="str">
        <f>HYPERLINK("https://genetics.org.uk/wp-content/uploads/2018/06/Genetics-Society-Spring-Meeting-2022-programme_web-version.pdf","2022 - Meeting on Genetics Society")</f>
        <v>2022 - Meeting on Genetics Society</v>
      </c>
      <c r="C364" s="47" t="s">
        <v>15</v>
      </c>
      <c r="D364" s="18" t="s">
        <v>17</v>
      </c>
      <c r="E364" s="18" t="s">
        <v>1760</v>
      </c>
      <c r="F364" s="17" t="s">
        <v>1881</v>
      </c>
      <c r="G364" s="5" t="s">
        <v>2030</v>
      </c>
      <c r="H364" s="18"/>
    </row>
    <row r="365" spans="1:8" ht="15.95" customHeight="1">
      <c r="A365" s="5">
        <v>361</v>
      </c>
      <c r="B365" s="17" t="str">
        <f>HYPERLINK("https://genetics.org.uk/events/genetics-society-2020-award-lectures/","2020 - Meeting on Genetics Society and British Society for Developmental Biology")</f>
        <v>2020 - Meeting on Genetics Society and British Society for Developmental Biology</v>
      </c>
      <c r="C365" s="47" t="s">
        <v>15</v>
      </c>
      <c r="D365" s="18" t="s">
        <v>17</v>
      </c>
      <c r="E365" s="18" t="s">
        <v>1760</v>
      </c>
      <c r="F365" s="17" t="s">
        <v>1884</v>
      </c>
      <c r="G365" s="5" t="s">
        <v>2030</v>
      </c>
      <c r="H365" s="18"/>
    </row>
    <row r="366" spans="1:8" ht="15.95" customHeight="1">
      <c r="A366" s="5">
        <v>362</v>
      </c>
      <c r="B366" s="17" t="str">
        <f>HYPERLINK("https://genetics.org.uk/events/bsdb-genetics-society-annual-spring-meeting/","2021 - Meeting on Genetics Society and British Society for Developmental Biology")</f>
        <v>2021 - Meeting on Genetics Society and British Society for Developmental Biology</v>
      </c>
      <c r="C366" s="47" t="s">
        <v>15</v>
      </c>
      <c r="D366" s="18" t="s">
        <v>17</v>
      </c>
      <c r="E366" s="18" t="s">
        <v>1882</v>
      </c>
      <c r="F366" s="17" t="s">
        <v>1883</v>
      </c>
      <c r="G366" s="5" t="s">
        <v>2030</v>
      </c>
      <c r="H366" s="18"/>
    </row>
    <row r="367" spans="1:8" ht="15.95" customHeight="1">
      <c r="A367" s="5">
        <v>363</v>
      </c>
      <c r="B367" s="17" t="str">
        <f>HYPERLINK("https://rd-research.org.uk/about-us/conference/","2024 - 1st Annual Conference of Rare Disease Research UK")</f>
        <v>2024 - 1st Annual Conference of Rare Disease Research UK</v>
      </c>
      <c r="C367" s="47" t="s">
        <v>15</v>
      </c>
      <c r="D367" s="18" t="s">
        <v>17</v>
      </c>
      <c r="E367" s="18" t="s">
        <v>491</v>
      </c>
      <c r="F367" s="17" t="s">
        <v>1186</v>
      </c>
      <c r="G367" s="5" t="s">
        <v>2031</v>
      </c>
      <c r="H367" s="18"/>
    </row>
    <row r="368" spans="1:8" ht="15.95" customHeight="1">
      <c r="A368" s="5">
        <v>364</v>
      </c>
      <c r="B368" s="17" t="str">
        <f>HYPERLINK("https://www.emedevents.com/c/medical-conferences-2024/9th-joint-uk-dutch-clinical-genetics-societies-cgs-and-cancer-genetics-groups-cgg-meeting","2024 - 9th Joint Meeting on UK/Dutch Clinical Genetics Societies/Cancer Genetics Groups")</f>
        <v>2024 - 9th Joint Meeting on UK/Dutch Clinical Genetics Societies/Cancer Genetics Groups</v>
      </c>
      <c r="C368" s="47" t="s">
        <v>15</v>
      </c>
      <c r="D368" s="18" t="s">
        <v>17</v>
      </c>
      <c r="E368" s="18" t="s">
        <v>1869</v>
      </c>
      <c r="F368" s="17" t="s">
        <v>1870</v>
      </c>
      <c r="G368" s="5" t="s">
        <v>2030</v>
      </c>
      <c r="H368" s="18"/>
    </row>
    <row r="369" spans="1:8" ht="15.95" customHeight="1">
      <c r="A369" s="5">
        <v>365</v>
      </c>
      <c r="B369" s="17" t="str">
        <f>HYPERLINK("https://www.clingensoc.org/events/joint-dutchuk-clinical-genetics-societies-and-cancer-genetics-group-meeting/","2022 - 8th Joint Meeting on UK/Dutch Clinical Genetics Societies/Cancer Genetics Groups")</f>
        <v>2022 - 8th Joint Meeting on UK/Dutch Clinical Genetics Societies/Cancer Genetics Groups</v>
      </c>
      <c r="C369" s="47" t="s">
        <v>15</v>
      </c>
      <c r="D369" s="18" t="s">
        <v>17</v>
      </c>
      <c r="E369" s="18" t="s">
        <v>1869</v>
      </c>
      <c r="F369" s="17" t="s">
        <v>1871</v>
      </c>
      <c r="G369" s="5" t="s">
        <v>2030</v>
      </c>
      <c r="H369" s="18"/>
    </row>
    <row r="370" spans="1:8" ht="15.95" customHeight="1">
      <c r="A370" s="5">
        <v>366</v>
      </c>
      <c r="B370" s="17" t="str">
        <f>HYPERLINK("https://www.clingensoc.org/events/7th-joint-dutchuk-clinical-genetics-societies-and-cancer-genetics-groups-conference-february-10-11-2020/","2020 - 7th Joint Meeting on UK/Dutch Clinical Genetics Societies/Cancer Genetics Groups")</f>
        <v>2020 - 7th Joint Meeting on UK/Dutch Clinical Genetics Societies/Cancer Genetics Groups</v>
      </c>
      <c r="C370" s="47" t="s">
        <v>15</v>
      </c>
      <c r="D370" s="18" t="s">
        <v>17</v>
      </c>
      <c r="E370" s="18" t="s">
        <v>1869</v>
      </c>
      <c r="F370" s="17" t="s">
        <v>1872</v>
      </c>
      <c r="G370" s="5" t="s">
        <v>2030</v>
      </c>
      <c r="H370" s="18"/>
    </row>
    <row r="371" spans="1:8" ht="15.95" customHeight="1">
      <c r="A371" s="5">
        <v>367</v>
      </c>
      <c r="B371" s="17" t="str">
        <f>HYPERLINK("https://www.aaaai.org/Aaaai/media/Media-Library-PDFs/Members%20Area/am24-FinProg-v19_lo-res.pdf","2024 - Annual Meeting of American Academy of Allergy Asthma &amp; Immunology")</f>
        <v>2024 - Annual Meeting of American Academy of Allergy Asthma &amp; Immunology</v>
      </c>
      <c r="C371" s="47" t="s">
        <v>15</v>
      </c>
      <c r="D371" s="18" t="s">
        <v>18</v>
      </c>
      <c r="E371" s="18" t="s">
        <v>464</v>
      </c>
      <c r="F371" s="17" t="s">
        <v>1045</v>
      </c>
      <c r="G371" s="5">
        <v>3</v>
      </c>
      <c r="H371" s="18"/>
    </row>
    <row r="372" spans="1:8" ht="15.95" customHeight="1">
      <c r="A372" s="5">
        <v>368</v>
      </c>
      <c r="B372" s="17" t="str">
        <f>HYPERLINK("https://www.aaaai.org/Aaaai/media/Media-Library-PDFs/About/am23-FinProg-v21-lores.pdf","2023 - Annual Meeting of American Academy of Allergy Asthma &amp; Immunology")</f>
        <v>2023 - Annual Meeting of American Academy of Allergy Asthma &amp; Immunology</v>
      </c>
      <c r="C372" s="47" t="s">
        <v>15</v>
      </c>
      <c r="D372" s="18" t="s">
        <v>18</v>
      </c>
      <c r="E372" s="18" t="s">
        <v>464</v>
      </c>
      <c r="F372" s="17" t="s">
        <v>1046</v>
      </c>
      <c r="G372" s="5">
        <v>3</v>
      </c>
      <c r="H372" s="18"/>
    </row>
    <row r="373" spans="1:8" ht="15.95" customHeight="1">
      <c r="A373" s="5">
        <v>369</v>
      </c>
      <c r="B373" s="17" t="str">
        <f>HYPERLINK("https://plan.core-apps.com/aaaai2022/events","2022 - Annual Meeting of American Academy of Allergy Asthma &amp; Immunology")</f>
        <v>2022 - Annual Meeting of American Academy of Allergy Asthma &amp; Immunology</v>
      </c>
      <c r="C373" s="47" t="s">
        <v>15</v>
      </c>
      <c r="D373" s="18" t="s">
        <v>18</v>
      </c>
      <c r="E373" s="18" t="s">
        <v>464</v>
      </c>
      <c r="F373" s="17" t="s">
        <v>1047</v>
      </c>
      <c r="G373" s="5">
        <v>3</v>
      </c>
      <c r="H373" s="18"/>
    </row>
    <row r="374" spans="1:8" ht="15.95" customHeight="1">
      <c r="A374" s="5">
        <v>370</v>
      </c>
      <c r="B374" s="17" t="str">
        <f>HYPERLINK("https://aaaai.planion.com/Web.User/SearchSessions?ACCOUNT=AAAAI&amp;CONF=AM2021&amp;USERPID=PUBLIC&amp;ssoOverride=OFF&amp;MOPT=Search_Sessions&amp;standalone=YES","2021 - Annual Meeting of American Academy of Allergy Asthma &amp; Immunology")</f>
        <v>2021 - Annual Meeting of American Academy of Allergy Asthma &amp; Immunology</v>
      </c>
      <c r="C374" s="47" t="s">
        <v>15</v>
      </c>
      <c r="D374" s="18" t="s">
        <v>18</v>
      </c>
      <c r="E374" s="18" t="s">
        <v>464</v>
      </c>
      <c r="F374" s="17" t="s">
        <v>1048</v>
      </c>
      <c r="G374" s="5">
        <v>3</v>
      </c>
      <c r="H374" s="18"/>
    </row>
    <row r="375" spans="1:8" ht="15.95" customHeight="1">
      <c r="A375" s="5">
        <v>371</v>
      </c>
      <c r="B375" s="17" t="str">
        <f>HYPERLINK("https://plan.core-apps.com/tristar_aaaai20/events","2020 - Annual Meeting of American Academy of Allergy Asthma &amp; Immunology")</f>
        <v>2020 - Annual Meeting of American Academy of Allergy Asthma &amp; Immunology</v>
      </c>
      <c r="C375" s="47" t="s">
        <v>15</v>
      </c>
      <c r="D375" s="18" t="s">
        <v>18</v>
      </c>
      <c r="E375" s="18" t="s">
        <v>464</v>
      </c>
      <c r="F375" s="17" t="s">
        <v>1049</v>
      </c>
      <c r="G375" s="5">
        <v>3</v>
      </c>
      <c r="H375" s="18"/>
    </row>
    <row r="376" spans="1:8" ht="15.95" customHeight="1">
      <c r="A376" s="5">
        <v>372</v>
      </c>
      <c r="B376" s="17" t="str">
        <f>HYPERLINK("https://immunology2024.aai.org/program/","2024 - 107th Annual Meeting of The American Association of Immunologists")</f>
        <v>2024 - 107th Annual Meeting of The American Association of Immunologists</v>
      </c>
      <c r="C376" s="47" t="s">
        <v>15</v>
      </c>
      <c r="D376" s="18" t="s">
        <v>18</v>
      </c>
      <c r="E376" s="18" t="s">
        <v>418</v>
      </c>
      <c r="F376" s="17" t="s">
        <v>1164</v>
      </c>
      <c r="G376" s="5">
        <v>3</v>
      </c>
      <c r="H376" s="18"/>
    </row>
    <row r="377" spans="1:8" ht="15.95" customHeight="1">
      <c r="A377" s="5">
        <v>373</v>
      </c>
      <c r="B377" s="17" t="str">
        <f>HYPERLINK("https://www.immunology2023.org/program/","2023 - 106th Annual Meeting of The American Association of Immunologists")</f>
        <v>2023 - 106th Annual Meeting of The American Association of Immunologists</v>
      </c>
      <c r="C377" s="47" t="s">
        <v>15</v>
      </c>
      <c r="D377" s="18" t="s">
        <v>18</v>
      </c>
      <c r="E377" s="18" t="s">
        <v>418</v>
      </c>
      <c r="F377" s="17" t="s">
        <v>1165</v>
      </c>
      <c r="G377" s="5">
        <v>3</v>
      </c>
      <c r="H377" s="18"/>
    </row>
    <row r="378" spans="1:8" ht="15.95" customHeight="1">
      <c r="A378" s="5">
        <v>374</v>
      </c>
      <c r="B378" s="17" t="str">
        <f>HYPERLINK("https://www.immunology2022.org/wp-content/uploads/2022/04/Imm22-Program-Book-web.pdf","2022 - 105th Annual Meeting of The American Association of Immunologists")</f>
        <v>2022 - 105th Annual Meeting of The American Association of Immunologists</v>
      </c>
      <c r="C378" s="47" t="s">
        <v>15</v>
      </c>
      <c r="D378" s="18" t="s">
        <v>18</v>
      </c>
      <c r="E378" s="18" t="s">
        <v>418</v>
      </c>
      <c r="F378" s="17" t="s">
        <v>1166</v>
      </c>
      <c r="G378" s="5">
        <v>3</v>
      </c>
      <c r="H378" s="18"/>
    </row>
    <row r="379" spans="1:8" ht="15.95" customHeight="1">
      <c r="A379" s="5">
        <v>375</v>
      </c>
      <c r="B379" s="17" t="str">
        <f>HYPERLINK("https://www.immunology2021.org/scientific-program/","2021 - 104th Annual Meeting of The American Association of Immunologists")</f>
        <v>2021 - 104th Annual Meeting of The American Association of Immunologists</v>
      </c>
      <c r="C379" s="47" t="s">
        <v>15</v>
      </c>
      <c r="D379" s="18" t="s">
        <v>18</v>
      </c>
      <c r="E379" s="18" t="s">
        <v>418</v>
      </c>
      <c r="F379" s="17" t="s">
        <v>1167</v>
      </c>
      <c r="G379" s="5">
        <v>3</v>
      </c>
      <c r="H379" s="18"/>
    </row>
    <row r="380" spans="1:8" ht="15.95" customHeight="1">
      <c r="A380" s="5">
        <v>376</v>
      </c>
      <c r="B380" s="17" t="str">
        <f>HYPERLINK("https://www.acmgeducation.net/Public/Catalog/Details.aspx?id=o%2bY2f4yL8iktguLfTznYBg%3d%3d&amp;returnurl=%2fUsers%2fUserOnlineCourse.aspx%3fLearningActivityID%3do%252bY2f4yL8iktguLfTznYBg%253d%253d","2024 - Annual Clinical Genetics Meeting of American College of Medical Genetics")</f>
        <v>2024 - Annual Clinical Genetics Meeting of American College of Medical Genetics</v>
      </c>
      <c r="C380" s="47" t="s">
        <v>15</v>
      </c>
      <c r="D380" s="18" t="s">
        <v>18</v>
      </c>
      <c r="E380" s="18" t="s">
        <v>1796</v>
      </c>
      <c r="F380" s="17" t="s">
        <v>1980</v>
      </c>
      <c r="G380" s="5" t="s">
        <v>2030</v>
      </c>
      <c r="H380" s="18"/>
    </row>
    <row r="381" spans="1:8" ht="15.95" customHeight="1">
      <c r="A381" s="5">
        <v>377</v>
      </c>
      <c r="B381" s="17" t="str">
        <f>HYPERLINK("https://ashiannualmeeting.eventscribe.net/agenda.asp?BCFO=&amp;pfp=FullSchedule&amp;fa=&amp;fb=&amp;fc=&amp;fd=&amp;all=1&amp;mode=","2024 - 50th Annual Meeting of the American Society for Histocompatibility and Immunogenetics")</f>
        <v>2024 - 50th Annual Meeting of the American Society for Histocompatibility and Immunogenetics</v>
      </c>
      <c r="C381" s="47" t="s">
        <v>15</v>
      </c>
      <c r="D381" s="18" t="s">
        <v>18</v>
      </c>
      <c r="E381" s="18" t="s">
        <v>420</v>
      </c>
      <c r="F381" s="17" t="s">
        <v>1108</v>
      </c>
      <c r="G381" s="5">
        <v>3</v>
      </c>
      <c r="H381" s="18"/>
    </row>
    <row r="382" spans="1:8" ht="15.95" customHeight="1">
      <c r="A382" s="5">
        <v>378</v>
      </c>
      <c r="B382" s="17" t="str">
        <f>HYPERLINK("https://cdn.ymaws.com/www.ashi-hla.org/resource/resmgr/docs/meetings_annual/website_program_-_live.pdf","2023 - 49th Annual Meeting of the American Society for Histocompatibility and Immunogenetics")</f>
        <v>2023 - 49th Annual Meeting of the American Society for Histocompatibility and Immunogenetics</v>
      </c>
      <c r="C382" s="47" t="s">
        <v>15</v>
      </c>
      <c r="D382" s="18" t="s">
        <v>18</v>
      </c>
      <c r="E382" s="18" t="s">
        <v>420</v>
      </c>
      <c r="F382" s="17" t="s">
        <v>1109</v>
      </c>
      <c r="G382" s="5">
        <v>3</v>
      </c>
      <c r="H382" s="18"/>
    </row>
    <row r="383" spans="1:8" ht="15.95" customHeight="1">
      <c r="A383" s="5">
        <v>379</v>
      </c>
      <c r="B383" s="17" t="str">
        <f>HYPERLINK("https://cdn.ymaws.com/www.ashi-hla.org/resource/resmgr/docs/meetings_annual/printable_program_live_updat.pdf","2022 - 48th Annual Meeting of the American Society for Histocompatibility and Immunogenetics")</f>
        <v>2022 - 48th Annual Meeting of the American Society for Histocompatibility and Immunogenetics</v>
      </c>
      <c r="C383" s="47" t="s">
        <v>15</v>
      </c>
      <c r="D383" s="18" t="s">
        <v>18</v>
      </c>
      <c r="E383" s="18" t="s">
        <v>420</v>
      </c>
      <c r="F383" s="17" t="s">
        <v>1110</v>
      </c>
      <c r="G383" s="5">
        <v>3</v>
      </c>
      <c r="H383" s="18"/>
    </row>
    <row r="384" spans="1:8" ht="15.95" customHeight="1">
      <c r="A384" s="5">
        <v>380</v>
      </c>
      <c r="B384" s="17" t="str">
        <f>HYPERLINK("https://cdn.ymaws.com/www.ashi-hla.org/resource/resmgr/docs/meetings_annual/website_program_9.5.pdf","2021 - 47th Annual Meeting of the American Society for Histocompatibility and Immunogenetics")</f>
        <v>2021 - 47th Annual Meeting of the American Society for Histocompatibility and Immunogenetics</v>
      </c>
      <c r="C384" s="47" t="s">
        <v>15</v>
      </c>
      <c r="D384" s="18" t="s">
        <v>18</v>
      </c>
      <c r="E384" s="18" t="s">
        <v>420</v>
      </c>
      <c r="F384" s="17" t="s">
        <v>1111</v>
      </c>
      <c r="G384" s="5">
        <v>3</v>
      </c>
      <c r="H384" s="18"/>
    </row>
    <row r="385" spans="1:8" ht="15.95" customHeight="1">
      <c r="A385" s="5">
        <v>381</v>
      </c>
      <c r="B385" s="17" t="str">
        <f>HYPERLINK("https://cdn.ymaws.com/www.ashi-hla.org/resource/resmgr/docs/meetings_annual/vgamprogramfull.pdf","2020 - 46th Annual Meeting of the American Society for Histocompatibility and Immunogenetics")</f>
        <v>2020 - 46th Annual Meeting of the American Society for Histocompatibility and Immunogenetics</v>
      </c>
      <c r="C385" s="47" t="s">
        <v>15</v>
      </c>
      <c r="D385" s="18" t="s">
        <v>18</v>
      </c>
      <c r="E385" s="18" t="s">
        <v>420</v>
      </c>
      <c r="F385" s="17" t="s">
        <v>1112</v>
      </c>
      <c r="G385" s="5">
        <v>3</v>
      </c>
      <c r="H385" s="18"/>
    </row>
    <row r="386" spans="1:8" ht="15.95" customHeight="1">
      <c r="A386" s="5">
        <v>382</v>
      </c>
      <c r="B386" s="17" t="str">
        <f>HYPERLINK("https://annualmeeting.asgct.org/program/session-paths/gene-editing","2024 - 27th Annual Meeting of the American Society of Gene &amp; Cell Therapy")</f>
        <v>2024 - 27th Annual Meeting of the American Society of Gene &amp; Cell Therapy</v>
      </c>
      <c r="C386" s="47" t="s">
        <v>15</v>
      </c>
      <c r="D386" s="18" t="s">
        <v>18</v>
      </c>
      <c r="E386" s="18" t="s">
        <v>1756</v>
      </c>
      <c r="F386" s="17" t="s">
        <v>1873</v>
      </c>
      <c r="G386" s="5" t="s">
        <v>2030</v>
      </c>
      <c r="H386" s="18"/>
    </row>
    <row r="387" spans="1:8" ht="15.95" customHeight="1">
      <c r="A387" s="5">
        <v>383</v>
      </c>
      <c r="B387" s="17" t="str">
        <f>HYPERLINK("https://annualmeeting.asgct.org/global/am23/asgct23_full_program_pdf.aspx?_ga=2.186618410.2070095320.1726487190-1055338226.1726487190&amp;_gl=1*1xierbw*_ga*MTA1NTMzODIyNi4xNzI2NDg3MTkw*_ga_Q37QKR6TCJ*MTcyNjQ4NzE4OS4xLjEuMTcyNjQ4ODMwNi4wLjAuMA..","2023 - 26th Annual Meeting of the American Society of Gene &amp; Cell Therapy")</f>
        <v>2023 - 26th Annual Meeting of the American Society of Gene &amp; Cell Therapy</v>
      </c>
      <c r="C387" s="47" t="s">
        <v>15</v>
      </c>
      <c r="D387" s="18" t="s">
        <v>18</v>
      </c>
      <c r="E387" s="18" t="s">
        <v>1756</v>
      </c>
      <c r="F387" s="17" t="s">
        <v>1874</v>
      </c>
      <c r="G387" s="5" t="s">
        <v>2030</v>
      </c>
      <c r="H387" s="18"/>
    </row>
    <row r="388" spans="1:8" ht="15.95" customHeight="1">
      <c r="A388" s="5">
        <v>384</v>
      </c>
      <c r="B388" s="17" t="str">
        <f>HYPERLINK("https://annualmeeting.asgct.org/global/am22/asgct_am22_program_guide.aspx?_ga=2.18340282.2070095320.1726487190-1055338226.1726487190&amp;_gl=1*o2uylu*_ga*MTA1NTMzODIyNi4xNzI2NDg3MTkw*_ga_Q37QKR6TCJ*MTcyNjQ4NzE4OS4xLjEuMTcyNjQ4ODMwNi4wLjAuMA..","2022 - 25th Annual Meeting of the American Society of Gene &amp; Cell Therapy")</f>
        <v>2022 - 25th Annual Meeting of the American Society of Gene &amp; Cell Therapy</v>
      </c>
      <c r="C388" s="47" t="s">
        <v>15</v>
      </c>
      <c r="D388" s="18" t="s">
        <v>18</v>
      </c>
      <c r="E388" s="18" t="s">
        <v>1756</v>
      </c>
      <c r="F388" s="17" t="s">
        <v>1875</v>
      </c>
      <c r="G388" s="5" t="s">
        <v>2030</v>
      </c>
      <c r="H388" s="18"/>
    </row>
    <row r="389" spans="1:8" ht="15.95" customHeight="1">
      <c r="A389" s="5">
        <v>385</v>
      </c>
      <c r="B389" s="17" t="str">
        <f>HYPERLINK("https://www.asgct.org/CMSPages/GetFile.aspx?nodeguid=26babc1a-fc13-411d-860a-170d3e0225ae&amp;lang=en-US&amp;_ga=","2021 - 24th Annual Meeting of the American Society of Gene &amp; Cell Therapy")</f>
        <v>2021 - 24th Annual Meeting of the American Society of Gene &amp; Cell Therapy</v>
      </c>
      <c r="C389" s="47" t="s">
        <v>15</v>
      </c>
      <c r="D389" s="18" t="s">
        <v>18</v>
      </c>
      <c r="E389" s="18" t="s">
        <v>1943</v>
      </c>
      <c r="F389" s="17" t="s">
        <v>1944</v>
      </c>
      <c r="G389" s="5" t="s">
        <v>2030</v>
      </c>
      <c r="H389" s="18"/>
    </row>
    <row r="390" spans="1:8" ht="15.95" customHeight="1">
      <c r="A390" s="5">
        <v>386</v>
      </c>
      <c r="B390" s="17" t="str">
        <f>HYPERLINK("https://www.asgct.org/global/am20files/asgct2020fullprogramfinal.aspx?_ga=","2020 - 23th Annual Meeting of the American Society of Gene &amp; Cell Therapy")</f>
        <v>2020 - 23th Annual Meeting of the American Society of Gene &amp; Cell Therapy</v>
      </c>
      <c r="C390" s="47" t="s">
        <v>15</v>
      </c>
      <c r="D390" s="18" t="s">
        <v>18</v>
      </c>
      <c r="E390" s="18" t="s">
        <v>1943</v>
      </c>
      <c r="F390" s="17" t="s">
        <v>1945</v>
      </c>
      <c r="G390" s="5" t="s">
        <v>2030</v>
      </c>
      <c r="H390" s="18"/>
    </row>
    <row r="391" spans="1:8" ht="15.95" customHeight="1">
      <c r="A391" s="5">
        <v>387</v>
      </c>
      <c r="B391" s="17" t="str">
        <f>HYPERLINK("https://eppro02.ativ.me/src/EventPilot/php/express/web/planner.php?id=ASHG24","2024 - Annual Meeting of the American Society of Human Genetics")</f>
        <v>2024 - Annual Meeting of the American Society of Human Genetics</v>
      </c>
      <c r="C391" s="47" t="s">
        <v>15</v>
      </c>
      <c r="D391" s="18" t="s">
        <v>18</v>
      </c>
      <c r="E391" s="18" t="s">
        <v>1753</v>
      </c>
      <c r="F391" s="17" t="s">
        <v>1864</v>
      </c>
      <c r="G391" s="5" t="s">
        <v>2030</v>
      </c>
      <c r="H391" s="18"/>
    </row>
    <row r="392" spans="1:8" ht="15.95" customHeight="1">
      <c r="A392" s="5">
        <v>388</v>
      </c>
      <c r="B392" s="17" t="str">
        <f>HYPERLINK("https://www.ashg.org/meetings/2023meeting/agenda/ashg-2023-scientific-program/","2023 - Annual Meeting of the American Society of Human Genetics")</f>
        <v>2023 - Annual Meeting of the American Society of Human Genetics</v>
      </c>
      <c r="C392" s="47" t="s">
        <v>15</v>
      </c>
      <c r="D392" s="18" t="s">
        <v>18</v>
      </c>
      <c r="E392" s="18" t="s">
        <v>1753</v>
      </c>
      <c r="F392" s="17" t="s">
        <v>1865</v>
      </c>
      <c r="G392" s="5" t="s">
        <v>2030</v>
      </c>
      <c r="H392" s="18"/>
    </row>
    <row r="393" spans="1:8" ht="15.95" customHeight="1">
      <c r="A393" s="5">
        <v>389</v>
      </c>
      <c r="B393" s="17" t="str">
        <f>HYPERLINK("https://www.ashg.org/wp-content/uploads/2022/09/ASHG2022-PAAG.pdf","2022 - Annual Meeting of the American Society of Human Genetics")</f>
        <v>2022 - Annual Meeting of the American Society of Human Genetics</v>
      </c>
      <c r="C393" s="47" t="s">
        <v>15</v>
      </c>
      <c r="D393" s="18" t="s">
        <v>18</v>
      </c>
      <c r="E393" s="18" t="s">
        <v>1753</v>
      </c>
      <c r="F393" s="17" t="s">
        <v>1866</v>
      </c>
      <c r="G393" s="5" t="s">
        <v>2030</v>
      </c>
      <c r="H393" s="18"/>
    </row>
    <row r="394" spans="1:8" ht="15.95" customHeight="1">
      <c r="A394" s="5">
        <v>390</v>
      </c>
      <c r="B394" s="17" t="str">
        <f>HYPERLINK("https://www.ashg.org/meetings/2021meeting/attendees/schedule/","2021 - Annual Meeting of the American Society of Human Genetics")</f>
        <v>2021 - Annual Meeting of the American Society of Human Genetics</v>
      </c>
      <c r="C394" s="47" t="s">
        <v>15</v>
      </c>
      <c r="D394" s="18" t="s">
        <v>18</v>
      </c>
      <c r="E394" s="18" t="s">
        <v>1753</v>
      </c>
      <c r="F394" s="17" t="s">
        <v>1867</v>
      </c>
      <c r="G394" s="5" t="s">
        <v>2030</v>
      </c>
      <c r="H394" s="18"/>
    </row>
    <row r="395" spans="1:8" ht="15.95" customHeight="1">
      <c r="A395" s="5">
        <v>391</v>
      </c>
      <c r="B395" s="17" t="str">
        <f>HYPERLINK("https://www.abstractsonline.com/pp8/#!/9070","2020 - Annual Meeting of the American Society of Human Genetics")</f>
        <v>2020 - Annual Meeting of the American Society of Human Genetics</v>
      </c>
      <c r="C395" s="47" t="s">
        <v>15</v>
      </c>
      <c r="D395" s="18" t="s">
        <v>18</v>
      </c>
      <c r="E395" s="18" t="s">
        <v>1753</v>
      </c>
      <c r="F395" s="17" t="s">
        <v>1868</v>
      </c>
      <c r="G395" s="5" t="s">
        <v>2030</v>
      </c>
      <c r="H395" s="18"/>
    </row>
    <row r="396" spans="1:8" ht="15.95" customHeight="1">
      <c r="A396" s="5">
        <v>392</v>
      </c>
      <c r="B396" s="17" t="str">
        <f>HYPERLINK("https://congresoercal.com/es/congreso-de-enfermedades-raras-agenda/#","2024 - 2nd Congress on Rare Diseases for Latin America and the Caribbean")</f>
        <v>2024 - 2nd Congress on Rare Diseases for Latin America and the Caribbean</v>
      </c>
      <c r="C396" s="47" t="s">
        <v>15</v>
      </c>
      <c r="D396" s="18" t="s">
        <v>18</v>
      </c>
      <c r="E396" s="18" t="s">
        <v>1010</v>
      </c>
      <c r="F396" s="17" t="s">
        <v>1011</v>
      </c>
      <c r="G396" s="5" t="s">
        <v>2031</v>
      </c>
      <c r="H396" s="18"/>
    </row>
    <row r="397" spans="1:8" ht="15.95" customHeight="1">
      <c r="A397" s="5">
        <v>393</v>
      </c>
      <c r="B397" s="17" t="str">
        <f>HYPERLINK("https://congresoercal.com/eventos-pasados/2023/","2023 - 1st Congress on Rare Diseases for Latin America and the Caribbean")</f>
        <v>2023 - 1st Congress on Rare Diseases for Latin America and the Caribbean</v>
      </c>
      <c r="C397" s="47" t="s">
        <v>15</v>
      </c>
      <c r="D397" s="18" t="s">
        <v>18</v>
      </c>
      <c r="E397" s="18" t="s">
        <v>1010</v>
      </c>
      <c r="F397" s="17" t="s">
        <v>1012</v>
      </c>
      <c r="G397" s="5" t="s">
        <v>2031</v>
      </c>
      <c r="H397" s="18"/>
    </row>
    <row r="398" spans="1:8" ht="15.95" customHeight="1">
      <c r="A398" s="5">
        <v>394</v>
      </c>
      <c r="B398" s="17" t="str">
        <f>HYPERLINK("https://safmls.org/jam","2024 - Joint Annual Meeting of the Association of Genetic Technologists")</f>
        <v>2024 - Joint Annual Meeting of the Association of Genetic Technologists</v>
      </c>
      <c r="C398" s="47" t="s">
        <v>15</v>
      </c>
      <c r="D398" s="18" t="s">
        <v>18</v>
      </c>
      <c r="E398" s="18" t="s">
        <v>1852</v>
      </c>
      <c r="F398" s="17" t="s">
        <v>1952</v>
      </c>
      <c r="G398" s="5" t="s">
        <v>2030</v>
      </c>
      <c r="H398" s="18"/>
    </row>
    <row r="399" spans="1:8" ht="15.95" customHeight="1">
      <c r="A399" s="5">
        <v>395</v>
      </c>
      <c r="B399" s="17" t="str">
        <f>HYPERLINK("https://www.ccmg-ccgm.org/wp-content/uploads/2024/06/2024-CCMG-CCGM-Annual-Scientific-Meeting-Program-1.pdf","2024 - 48th Annual Scientific Meeting CCMG-CCGM of Canadian College of Medical Geneticists")</f>
        <v>2024 - 48th Annual Scientific Meeting CCMG-CCGM of Canadian College of Medical Geneticists</v>
      </c>
      <c r="C399" s="47" t="s">
        <v>15</v>
      </c>
      <c r="D399" s="18" t="s">
        <v>18</v>
      </c>
      <c r="E399" s="18" t="s">
        <v>1794</v>
      </c>
      <c r="F399" s="17" t="s">
        <v>1981</v>
      </c>
      <c r="G399" s="5" t="s">
        <v>2030</v>
      </c>
      <c r="H399" s="18"/>
    </row>
    <row r="400" spans="1:8" ht="15.95" customHeight="1">
      <c r="A400" s="5">
        <v>396</v>
      </c>
      <c r="B400" s="17" t="str">
        <f>HYPERLINK("https://ccmgcscc.com/full-program/","2023 - 47th Annual Scientific Meeting CCMG-CCGM of Canadian College of Medical Geneticists")</f>
        <v>2023 - 47th Annual Scientific Meeting CCMG-CCGM of Canadian College of Medical Geneticists</v>
      </c>
      <c r="C400" s="47" t="s">
        <v>15</v>
      </c>
      <c r="D400" s="18" t="s">
        <v>18</v>
      </c>
      <c r="E400" s="18" t="s">
        <v>1794</v>
      </c>
      <c r="F400" s="17" t="s">
        <v>1982</v>
      </c>
      <c r="G400" s="5" t="s">
        <v>2030</v>
      </c>
      <c r="H400" s="18"/>
    </row>
    <row r="401" spans="1:8" ht="15.95" customHeight="1">
      <c r="A401" s="5">
        <v>397</v>
      </c>
      <c r="B401" s="17" t="str">
        <f>HYPERLINK("https://www.ccmg-ccgm.org/event/ccmg-46th-annual-scientific-meeting/","2022 - 46th Annual Scientific Meeting CCMG-CCGM of Canadian College of Medical Geneticists")</f>
        <v>2022 - 46th Annual Scientific Meeting CCMG-CCGM of Canadian College of Medical Geneticists</v>
      </c>
      <c r="C401" s="47" t="s">
        <v>15</v>
      </c>
      <c r="D401" s="18" t="s">
        <v>18</v>
      </c>
      <c r="E401" s="18" t="s">
        <v>1794</v>
      </c>
      <c r="F401" s="17" t="s">
        <v>1983</v>
      </c>
      <c r="G401" s="5" t="s">
        <v>2030</v>
      </c>
      <c r="H401" s="18"/>
    </row>
    <row r="402" spans="1:8" ht="15.95" customHeight="1">
      <c r="A402" s="5">
        <v>398</v>
      </c>
      <c r="B402" s="17" t="str">
        <f>HYPERLINK("https://www.emedevents.com/online-cme-courses/live-webinar/canadian-college-of-medical-geneticists-ccmg-45th-annual-scientific-meeting","2021 - 45th Annual Scientific Meeting CCMG-CCGM of Canadian College of Medical Geneticists")</f>
        <v>2021 - 45th Annual Scientific Meeting CCMG-CCGM of Canadian College of Medical Geneticists</v>
      </c>
      <c r="C402" s="47" t="s">
        <v>15</v>
      </c>
      <c r="D402" s="18" t="s">
        <v>18</v>
      </c>
      <c r="E402" s="18" t="s">
        <v>1794</v>
      </c>
      <c r="F402" s="17" t="s">
        <v>1984</v>
      </c>
      <c r="G402" s="5" t="s">
        <v>2030</v>
      </c>
      <c r="H402" s="18"/>
    </row>
    <row r="403" spans="1:8" ht="15.95" customHeight="1">
      <c r="A403" s="5">
        <v>399</v>
      </c>
      <c r="B403" s="17" t="str">
        <f>HYPERLINK("https://cis.clinimmsoc.org/education/meetings/am24/full-agenda","2024 - Annual Meeting of Clinical Immunology Society")</f>
        <v>2024 - Annual Meeting of Clinical Immunology Society</v>
      </c>
      <c r="C403" s="47" t="s">
        <v>15</v>
      </c>
      <c r="D403" s="18" t="s">
        <v>18</v>
      </c>
      <c r="E403" s="18" t="s">
        <v>422</v>
      </c>
      <c r="F403" s="17" t="s">
        <v>1168</v>
      </c>
      <c r="G403" s="5">
        <v>3</v>
      </c>
      <c r="H403" s="18"/>
    </row>
    <row r="404" spans="1:8" ht="15.95" customHeight="1">
      <c r="A404" s="5">
        <v>400</v>
      </c>
      <c r="B404" s="17" t="str">
        <f>HYPERLINK("https://cis.clinimmsoc.org/UserFiles/AM23/am23-finpro-v10_hires.pdf","2023 - Annual Meeting of Clinical Immunology Society")</f>
        <v>2023 - Annual Meeting of Clinical Immunology Society</v>
      </c>
      <c r="C404" s="47" t="s">
        <v>15</v>
      </c>
      <c r="D404" s="18" t="s">
        <v>18</v>
      </c>
      <c r="E404" s="18" t="s">
        <v>422</v>
      </c>
      <c r="F404" s="17" t="s">
        <v>1169</v>
      </c>
      <c r="G404" s="5">
        <v>3</v>
      </c>
      <c r="H404" s="18"/>
    </row>
    <row r="405" spans="1:8" ht="15.95" customHeight="1">
      <c r="A405" s="5">
        <v>401</v>
      </c>
      <c r="B405" s="17" t="str">
        <f>HYPERLINK("https://cis.clinimmsoc.org/education/meetings/am22/program/amprogram","2022 - Annual Meeting of Clinical Immunology Society")</f>
        <v>2022 - Annual Meeting of Clinical Immunology Society</v>
      </c>
      <c r="C405" s="47" t="s">
        <v>15</v>
      </c>
      <c r="D405" s="18" t="s">
        <v>18</v>
      </c>
      <c r="E405" s="18" t="s">
        <v>422</v>
      </c>
      <c r="F405" s="17" t="s">
        <v>1170</v>
      </c>
      <c r="G405" s="5">
        <v>3</v>
      </c>
      <c r="H405" s="18"/>
    </row>
    <row r="406" spans="1:8" ht="15.95" customHeight="1">
      <c r="A406" s="5">
        <v>402</v>
      </c>
      <c r="B406" s="17" t="str">
        <f>HYPERLINK("https://cis.clinimmsoc.org/UserFiles/file/CISAM2021Agenda4.7.2021_v1.pdf","2021 - Annual Meeting of Clinical Immunology Society")</f>
        <v>2021 - Annual Meeting of Clinical Immunology Society</v>
      </c>
      <c r="C406" s="47" t="s">
        <v>15</v>
      </c>
      <c r="D406" s="18" t="s">
        <v>18</v>
      </c>
      <c r="E406" s="18" t="s">
        <v>422</v>
      </c>
      <c r="F406" s="17" t="s">
        <v>1171</v>
      </c>
      <c r="G406" s="5">
        <v>3</v>
      </c>
      <c r="H406" s="18"/>
    </row>
    <row r="407" spans="1:8" ht="15.95" customHeight="1">
      <c r="A407" s="5">
        <v>403</v>
      </c>
      <c r="B407" s="17" t="str">
        <f>HYPERLINK("https://cis.clinimmsoc.org/education/meetings/am20/program/annual-meeting-agenda","2020 - Annual Meeting of Clinical Immunology Society")</f>
        <v>2020 - Annual Meeting of Clinical Immunology Society</v>
      </c>
      <c r="C407" s="47" t="s">
        <v>15</v>
      </c>
      <c r="D407" s="18" t="s">
        <v>18</v>
      </c>
      <c r="E407" s="18" t="s">
        <v>422</v>
      </c>
      <c r="F407" s="17" t="s">
        <v>1172</v>
      </c>
      <c r="G407" s="5">
        <v>3</v>
      </c>
      <c r="H407" s="18"/>
    </row>
    <row r="408" spans="1:8" ht="15.95" customHeight="1">
      <c r="A408" s="5">
        <v>404</v>
      </c>
      <c r="B408" s="17" t="str">
        <f>HYPERLINK("https://genetics-gsa.org/tagc-2024/download-program-and-abstract-books/","2024 - The Allied Genetics Conference")</f>
        <v>2024 - The Allied Genetics Conference</v>
      </c>
      <c r="C408" s="47" t="s">
        <v>15</v>
      </c>
      <c r="D408" s="18" t="s">
        <v>18</v>
      </c>
      <c r="E408" s="18" t="s">
        <v>1751</v>
      </c>
      <c r="F408" s="17" t="s">
        <v>1857</v>
      </c>
      <c r="G408" s="5" t="s">
        <v>2030</v>
      </c>
      <c r="H408" s="18"/>
    </row>
    <row r="409" spans="1:8" ht="15.95" customHeight="1">
      <c r="A409" s="5">
        <v>405</v>
      </c>
      <c r="B409" s="17" t="str">
        <f>HYPERLINK("https://genetics-gsa.org/celegans2023/program-and-abstract-books/","2023 - 24th Biannual Conference on C. elegans")</f>
        <v>2023 - 24th Biannual Conference on C. elegans</v>
      </c>
      <c r="C409" s="47" t="s">
        <v>15</v>
      </c>
      <c r="D409" s="18" t="s">
        <v>18</v>
      </c>
      <c r="E409" s="18" t="s">
        <v>1751</v>
      </c>
      <c r="F409" s="17" t="s">
        <v>1860</v>
      </c>
      <c r="G409" s="5" t="s">
        <v>2030</v>
      </c>
      <c r="H409" s="18"/>
    </row>
    <row r="410" spans="1:8" ht="15.95" customHeight="1">
      <c r="A410" s="5">
        <v>406</v>
      </c>
      <c r="B410" s="17" t="str">
        <f>HYPERLINK("https://genetics-gsa.org/peqg-2022/wp-content/uploads/sites/37/2022/05/220518-PEQG22-Program-Book-v1.pdf","2022 - Population, Evolutionary, and Quantitative Genetics Conference")</f>
        <v>2022 - Population, Evolutionary, and Quantitative Genetics Conference</v>
      </c>
      <c r="C410" s="47" t="s">
        <v>15</v>
      </c>
      <c r="D410" s="18" t="s">
        <v>18</v>
      </c>
      <c r="E410" s="18" t="s">
        <v>1751</v>
      </c>
      <c r="F410" s="17" t="s">
        <v>1859</v>
      </c>
      <c r="G410" s="5" t="s">
        <v>2030</v>
      </c>
      <c r="H410" s="18"/>
    </row>
    <row r="411" spans="1:8" ht="15.95" customHeight="1">
      <c r="A411" s="5">
        <v>407</v>
      </c>
      <c r="B411" s="17" t="str">
        <f>HYPERLINK("https://genetics-gsa.org/celegans-2021/wp-content/uploads/sites/33/2021/06/210614-Worm21-Program-Book-v1.pdf","2022 - 23rd Biannual Conference on C. elegans")</f>
        <v>2022 - 23rd Biannual Conference on C. elegans</v>
      </c>
      <c r="C411" s="47" t="s">
        <v>15</v>
      </c>
      <c r="D411" s="18" t="s">
        <v>18</v>
      </c>
      <c r="E411" s="18" t="s">
        <v>1751</v>
      </c>
      <c r="F411" s="17" t="s">
        <v>1861</v>
      </c>
      <c r="G411" s="5" t="s">
        <v>2030</v>
      </c>
      <c r="H411" s="18"/>
    </row>
    <row r="412" spans="1:8" ht="15.95" customHeight="1">
      <c r="A412" s="5">
        <v>408</v>
      </c>
      <c r="B412" s="17" t="str">
        <f>HYPERLINK("https://genetics-gsa.org/yeast-2022/wp-content/uploads/sites/38/2022/08/Yeast22-Program-Book.pdf","2022 - Yeast Genetics Meeting")</f>
        <v>2022 - Yeast Genetics Meeting</v>
      </c>
      <c r="C412" s="47" t="s">
        <v>15</v>
      </c>
      <c r="D412" s="18" t="s">
        <v>18</v>
      </c>
      <c r="E412" s="18" t="s">
        <v>1751</v>
      </c>
      <c r="F412" s="17" t="s">
        <v>1862</v>
      </c>
      <c r="G412" s="5" t="s">
        <v>2030</v>
      </c>
      <c r="H412" s="18"/>
    </row>
    <row r="413" spans="1:8" ht="15.95" customHeight="1">
      <c r="A413" s="5">
        <v>409</v>
      </c>
      <c r="B413" s="17" t="str">
        <f>HYPERLINK("https://genetics-gsa.org/tagc/wp-content/uploads/sites/28/2021/06/200413-TAGC20-Program-Book-v1.pdf","2020 - The Allied Genetics Conference")</f>
        <v>2020 - The Allied Genetics Conference</v>
      </c>
      <c r="C413" s="47" t="s">
        <v>15</v>
      </c>
      <c r="D413" s="18" t="s">
        <v>18</v>
      </c>
      <c r="E413" s="18" t="s">
        <v>1751</v>
      </c>
      <c r="F413" s="17" t="s">
        <v>1858</v>
      </c>
      <c r="G413" s="5" t="s">
        <v>2030</v>
      </c>
      <c r="H413" s="18"/>
    </row>
    <row r="414" spans="1:8" ht="15.95" customHeight="1">
      <c r="A414" s="5">
        <v>410</v>
      </c>
      <c r="B414" s="17" t="str">
        <f>HYPERLINK("https://genetics-gsa.org/parasitology-2020/wp-content/uploads/sites/31/2020/09/MPM-2020-Program-Book-Final-1.pdf","2020 - XXXI Meeting of the Molecular Parasitology")</f>
        <v>2020 - XXXI Meeting of the Molecular Parasitology</v>
      </c>
      <c r="C414" s="47" t="s">
        <v>15</v>
      </c>
      <c r="D414" s="18" t="s">
        <v>18</v>
      </c>
      <c r="E414" s="18" t="s">
        <v>1751</v>
      </c>
      <c r="F414" s="17" t="s">
        <v>1863</v>
      </c>
      <c r="G414" s="5" t="s">
        <v>2030</v>
      </c>
      <c r="H414" s="18"/>
    </row>
    <row r="415" spans="1:8" ht="15.95" customHeight="1">
      <c r="A415" s="5">
        <v>411</v>
      </c>
      <c r="B415" s="17" t="str">
        <f>HYPERLINK("https://nordsummit.org/agenda/","2024 - National Summit of the National Organization for Rare Disorders")</f>
        <v>2024 - National Summit of the National Organization for Rare Disorders</v>
      </c>
      <c r="C415" s="47" t="s">
        <v>15</v>
      </c>
      <c r="D415" s="18" t="s">
        <v>18</v>
      </c>
      <c r="E415" s="18" t="s">
        <v>355</v>
      </c>
      <c r="F415" s="17" t="s">
        <v>1009</v>
      </c>
      <c r="G415" s="5" t="s">
        <v>2031</v>
      </c>
      <c r="H415" s="18"/>
    </row>
    <row r="416" spans="1:8" ht="15.95" customHeight="1">
      <c r="A416" s="5">
        <v>412</v>
      </c>
      <c r="B416" s="17" t="str">
        <f>HYPERLINK("https://www.nsgc.org/Education-and-Events/Past-and-Future-Annual-Conferences","2024 - 43rd Annual Conference of The National Society of Genetic Counselors")</f>
        <v>2024 - 43rd Annual Conference of The National Society of Genetic Counselors</v>
      </c>
      <c r="C416" s="47" t="s">
        <v>15</v>
      </c>
      <c r="D416" s="18" t="s">
        <v>18</v>
      </c>
      <c r="E416" s="18" t="s">
        <v>1798</v>
      </c>
      <c r="F416" s="17" t="s">
        <v>1975</v>
      </c>
      <c r="G416" s="5" t="s">
        <v>2030</v>
      </c>
      <c r="H416" s="18"/>
    </row>
    <row r="417" spans="1:8" ht="15.95" customHeight="1">
      <c r="A417" s="5">
        <v>413</v>
      </c>
      <c r="B417" s="17" t="str">
        <f>HYPERLINK("https://www.nsgc.org/Portals/0/Recruitment%20Resources/NSGC_23_AC_VirtualAttendeeGuide_Final.pdf","2023 - 42nd Annual Conference of The National Society of Genetic Counselors")</f>
        <v>2023 - 42nd Annual Conference of The National Society of Genetic Counselors</v>
      </c>
      <c r="C417" s="47" t="s">
        <v>15</v>
      </c>
      <c r="D417" s="18" t="s">
        <v>18</v>
      </c>
      <c r="E417" s="18" t="s">
        <v>1798</v>
      </c>
      <c r="F417" s="17" t="s">
        <v>1976</v>
      </c>
      <c r="G417" s="5" t="s">
        <v>2030</v>
      </c>
      <c r="H417" s="18"/>
    </row>
    <row r="418" spans="1:8" ht="15.95" customHeight="1">
      <c r="A418" s="5">
        <v>414</v>
      </c>
      <c r="B418" s="17" t="str">
        <f>HYPERLINK("https://www.nsgc.org/Portals/0/Docs/AnnualConference/2022/NSGC_994867-22_AC_AttendeeGuide_V4_96PPI.pdf","2022 - 41st Annual Conference of The National Society of Genetic Counselors")</f>
        <v>2022 - 41st Annual Conference of The National Society of Genetic Counselors</v>
      </c>
      <c r="C418" s="47" t="s">
        <v>15</v>
      </c>
      <c r="D418" s="18" t="s">
        <v>18</v>
      </c>
      <c r="E418" s="18" t="s">
        <v>1798</v>
      </c>
      <c r="F418" s="17" t="s">
        <v>1977</v>
      </c>
      <c r="G418" s="5" t="s">
        <v>2030</v>
      </c>
      <c r="H418" s="18"/>
    </row>
    <row r="419" spans="1:8" ht="15.95" customHeight="1">
      <c r="A419" s="5">
        <v>415</v>
      </c>
      <c r="B419" s="17" t="str">
        <f>HYPERLINK("https://www.nsgc.org/Portals/0/NSGC%2040th%20Annual%20Conference%20Program%20Book.pdf","2021 - 40th Annual Conference of The National Society of Genetic Counselors")</f>
        <v>2021 - 40th Annual Conference of The National Society of Genetic Counselors</v>
      </c>
      <c r="C419" s="47" t="s">
        <v>15</v>
      </c>
      <c r="D419" s="18" t="s">
        <v>18</v>
      </c>
      <c r="E419" s="18" t="s">
        <v>1798</v>
      </c>
      <c r="F419" s="17" t="s">
        <v>1978</v>
      </c>
      <c r="G419" s="5" t="s">
        <v>2030</v>
      </c>
      <c r="H419" s="18"/>
    </row>
    <row r="420" spans="1:8" ht="15.95" customHeight="1">
      <c r="A420" s="5">
        <v>416</v>
      </c>
      <c r="B420" s="17" t="str">
        <f>HYPERLINK("https://www.nsgc.org/Portals/0/Docs/AnnualConference/2020/NSGC%202020%20Virtual%20Annual%20Conference%20Final%20Program.pdf","2020 - 39th Annual Conference of The National Society of Genetic Counselors")</f>
        <v>2020 - 39th Annual Conference of The National Society of Genetic Counselors</v>
      </c>
      <c r="C420" s="47" t="s">
        <v>15</v>
      </c>
      <c r="D420" s="18" t="s">
        <v>18</v>
      </c>
      <c r="E420" s="18" t="s">
        <v>1798</v>
      </c>
      <c r="F420" s="17" t="s">
        <v>1979</v>
      </c>
      <c r="G420" s="5" t="s">
        <v>2030</v>
      </c>
      <c r="H420" s="18"/>
    </row>
    <row r="421" spans="1:8" ht="15.95" customHeight="1">
      <c r="A421" s="5">
        <v>417</v>
      </c>
      <c r="B421" s="17" t="str">
        <f>HYPERLINK("https://wsaai.s3.amazonaws.com/2024/wsaai-program-2024.pdf","2024 - 61st Annual Scientific Session of Western Society of Allergy, Asthma and Immunology")</f>
        <v>2024 - 61st Annual Scientific Session of Western Society of Allergy, Asthma and Immunology</v>
      </c>
      <c r="C421" s="47" t="s">
        <v>15</v>
      </c>
      <c r="D421" s="18" t="s">
        <v>18</v>
      </c>
      <c r="E421" s="18" t="s">
        <v>468</v>
      </c>
      <c r="F421" s="17" t="s">
        <v>1050</v>
      </c>
      <c r="G421" s="5">
        <v>3</v>
      </c>
      <c r="H421" s="18"/>
    </row>
    <row r="422" spans="1:8" ht="15.95" customHeight="1">
      <c r="A422" s="5">
        <v>418</v>
      </c>
      <c r="B422" s="17" t="str">
        <f>HYPERLINK("https://wsaai.s3.amazonaws.com/2023/wsaai-program-2023.pdf","2023 - 60th Annual Scientific Session of Western Society of Allergy, Asthma and Immunology")</f>
        <v>2023 - 60th Annual Scientific Session of Western Society of Allergy, Asthma and Immunology</v>
      </c>
      <c r="C422" s="47" t="s">
        <v>15</v>
      </c>
      <c r="D422" s="18" t="s">
        <v>18</v>
      </c>
      <c r="E422" s="18" t="s">
        <v>468</v>
      </c>
      <c r="F422" s="17" t="s">
        <v>1051</v>
      </c>
      <c r="G422" s="5">
        <v>3</v>
      </c>
      <c r="H422" s="18"/>
    </row>
    <row r="423" spans="1:8" ht="15.95" customHeight="1">
      <c r="A423" s="5">
        <v>419</v>
      </c>
      <c r="B423" s="17" t="str">
        <f>HYPERLINK("https://wsaai.s3.amazonaws.com/2022/2022-wsaai-program.pdf","2022 - 59th Annual Scientific Session of Western Society of Allergy, Asthma and Immunology")</f>
        <v>2022 - 59th Annual Scientific Session of Western Society of Allergy, Asthma and Immunology</v>
      </c>
      <c r="C423" s="47" t="s">
        <v>15</v>
      </c>
      <c r="D423" s="18" t="s">
        <v>18</v>
      </c>
      <c r="E423" s="18" t="s">
        <v>468</v>
      </c>
      <c r="F423" s="17" t="s">
        <v>1052</v>
      </c>
      <c r="G423" s="5">
        <v>3</v>
      </c>
      <c r="H423" s="18"/>
    </row>
    <row r="424" spans="1:8" ht="15.95" customHeight="1">
      <c r="A424" s="5">
        <v>420</v>
      </c>
      <c r="B424" s="17" t="str">
        <f>HYPERLINK("https://www.emedevents.com/c/medical-conferences-2020/western-society-of-allergy-asthma-and-immunology-wsaai-58th-annual-scientific-session","2020 - 58th Annual Scientific Session of Western Society of Allergy, Asthma and Immunology")</f>
        <v>2020 - 58th Annual Scientific Session of Western Society of Allergy, Asthma and Immunology</v>
      </c>
      <c r="C424" s="47" t="s">
        <v>15</v>
      </c>
      <c r="D424" s="18" t="s">
        <v>18</v>
      </c>
      <c r="E424" s="18" t="s">
        <v>468</v>
      </c>
      <c r="F424" s="17" t="s">
        <v>1053</v>
      </c>
      <c r="G424" s="5">
        <v>3</v>
      </c>
      <c r="H424" s="18"/>
    </row>
  </sheetData>
  <autoFilter ref="A4:H424"/>
  <sortState ref="A5:I424">
    <sortCondition ref="C5:C424" customList="International,Regional,National"/>
    <sortCondition ref="D5:D424"/>
    <sortCondition ref="E5:E424"/>
  </sortState>
  <mergeCells count="2">
    <mergeCell ref="A1:H1"/>
    <mergeCell ref="A2:H3"/>
  </mergeCells>
  <hyperlinks>
    <hyperlink ref="F11" r:id="rId1"/>
    <hyperlink ref="F21" r:id="rId2"/>
    <hyperlink ref="F22" r:id="rId3"/>
    <hyperlink ref="F23" r:id="rId4"/>
    <hyperlink ref="F24" r:id="rId5"/>
    <hyperlink ref="F25" r:id="rId6"/>
    <hyperlink ref="F36" r:id="rId7"/>
    <hyperlink ref="F37" r:id="rId8"/>
    <hyperlink ref="F39" r:id="rId9"/>
    <hyperlink ref="F40" r:id="rId10"/>
    <hyperlink ref="F42" r:id="rId11"/>
    <hyperlink ref="F41" r:id="rId12"/>
    <hyperlink ref="F99" r:id="rId13"/>
    <hyperlink ref="F100" r:id="rId14"/>
    <hyperlink ref="F101" r:id="rId15"/>
    <hyperlink ref="F44" r:id="rId16"/>
    <hyperlink ref="F50" r:id="rId17"/>
    <hyperlink ref="F71" r:id="rId18"/>
    <hyperlink ref="F72" r:id="rId19"/>
    <hyperlink ref="F73" r:id="rId20"/>
    <hyperlink ref="F74" r:id="rId21"/>
    <hyperlink ref="F75" r:id="rId22"/>
    <hyperlink ref="F80" r:id="rId23"/>
    <hyperlink ref="F81" r:id="rId24"/>
    <hyperlink ref="F82" r:id="rId25"/>
    <hyperlink ref="F83" r:id="rId26"/>
    <hyperlink ref="F84" r:id="rId27"/>
    <hyperlink ref="F85" r:id="rId28"/>
    <hyperlink ref="F86" r:id="rId29"/>
    <hyperlink ref="F87" r:id="rId30"/>
    <hyperlink ref="F88" r:id="rId31"/>
    <hyperlink ref="F89" r:id="rId32"/>
    <hyperlink ref="F90" r:id="rId33"/>
    <hyperlink ref="F91" r:id="rId34"/>
    <hyperlink ref="F92" r:id="rId35"/>
    <hyperlink ref="F93" r:id="rId36"/>
    <hyperlink ref="F94" r:id="rId37"/>
    <hyperlink ref="F95" r:id="rId38"/>
    <hyperlink ref="F96" r:id="rId39" display="https://www.waidid.org/uploads/media/PROGRAMMA_FINAL FINAL_compressed.pdf"/>
    <hyperlink ref="F98" r:id="rId40"/>
    <hyperlink ref="F97" r:id="rId41"/>
    <hyperlink ref="F102" r:id="rId42"/>
    <hyperlink ref="F103" r:id="rId43"/>
    <hyperlink ref="F104" r:id="rId44"/>
    <hyperlink ref="F105" r:id="rId45"/>
    <hyperlink ref="F106" r:id="rId46"/>
    <hyperlink ref="F5" r:id="rId47"/>
    <hyperlink ref="F6" r:id="rId48"/>
    <hyperlink ref="F7" r:id="rId49"/>
    <hyperlink ref="F8" r:id="rId50"/>
    <hyperlink ref="F108" r:id="rId51" display="https://www.ispid.org.in/downloads/APSID Congress brochure.pdf"/>
    <hyperlink ref="F107" r:id="rId52" display="https://apsid2023.com/front/page/APSID_program book_v14_20Apr2023_online.pdf"/>
    <hyperlink ref="F109" r:id="rId53"/>
    <hyperlink ref="F110" r:id="rId54"/>
    <hyperlink ref="F111" r:id="rId55"/>
    <hyperlink ref="F112" r:id="rId56"/>
    <hyperlink ref="F214" r:id="rId57"/>
    <hyperlink ref="F113" r:id="rId58"/>
    <hyperlink ref="F114" r:id="rId59" display="https://eaaci2023.process.y-congress.com/ScientificProcess/Data/67/386/print/EAACI 2023-en.pdf"/>
    <hyperlink ref="F115" r:id="rId60" display="https://eaaci2022.process.y-congress.com/scientificProcess/Data/67/256/print/EAACI Hybrid Congress 2022-en.pdf"/>
    <hyperlink ref="F116" r:id="rId61"/>
    <hyperlink ref="F117" r:id="rId62" display="https://eaaci.org/documents/congress/2020/EAACI_Digital_Congress_2020_PDF_Programme-JUNE 6-PM.pdf"/>
    <hyperlink ref="F120" r:id="rId63"/>
    <hyperlink ref="F121" r:id="rId64"/>
    <hyperlink ref="F122" r:id="rId65"/>
    <hyperlink ref="F123" r:id="rId66"/>
    <hyperlink ref="F16" r:id="rId67"/>
    <hyperlink ref="F17" r:id="rId68" location="anchor-program" display="https://ctnnb1-conference.org/index.php - anchor-program"/>
    <hyperlink ref="F126" r:id="rId69"/>
    <hyperlink ref="F18" r:id="rId70"/>
    <hyperlink ref="F20" r:id="rId71"/>
    <hyperlink ref="F19" r:id="rId72"/>
    <hyperlink ref="F127" r:id="rId73"/>
    <hyperlink ref="F128" r:id="rId74"/>
    <hyperlink ref="F129" r:id="rId75"/>
    <hyperlink ref="F130" r:id="rId76"/>
    <hyperlink ref="F131" r:id="rId77"/>
    <hyperlink ref="F132" r:id="rId78"/>
    <hyperlink ref="F133" r:id="rId79"/>
    <hyperlink ref="F139" r:id="rId80"/>
    <hyperlink ref="F140" r:id="rId81"/>
    <hyperlink ref="F141" r:id="rId82"/>
    <hyperlink ref="F142" r:id="rId83"/>
    <hyperlink ref="F143" r:id="rId84" display="https://www.sochipe.cl/subidos/congresos/docs/Programa LASID.pdf"/>
    <hyperlink ref="F144" r:id="rId85"/>
    <hyperlink ref="F145" r:id="rId86" display="https://slaai.blogspot.com/search/label/congreso slaai 2021?m=0"/>
    <hyperlink ref="F146" r:id="rId87"/>
    <hyperlink ref="F147" r:id="rId88"/>
    <hyperlink ref="F148" r:id="rId89"/>
    <hyperlink ref="F149" r:id="rId90"/>
    <hyperlink ref="F150" r:id="rId91"/>
    <hyperlink ref="F151" r:id="rId92"/>
    <hyperlink ref="F152" r:id="rId93"/>
    <hyperlink ref="F153" r:id="rId94"/>
    <hyperlink ref="F154" r:id="rId95"/>
    <hyperlink ref="F155" r:id="rId96"/>
    <hyperlink ref="F161" r:id="rId97"/>
    <hyperlink ref="F162" r:id="rId98"/>
    <hyperlink ref="F163" r:id="rId99"/>
    <hyperlink ref="F164" r:id="rId100" display="https://inmunologia.org.ar/documentos/pdf/Programa_SAIC_SAI_SAFIS_ 2020.pdf"/>
    <hyperlink ref="F167" r:id="rId101"/>
    <hyperlink ref="F168" r:id="rId102"/>
    <hyperlink ref="F169" r:id="rId103"/>
    <hyperlink ref="F170" r:id="rId104"/>
    <hyperlink ref="F171" r:id="rId105"/>
    <hyperlink ref="F172" r:id="rId106"/>
    <hyperlink ref="F173" r:id="rId107" display="https://iuis.org/events/50th-annual-scientific-meeting-of-the-australian-and-new-zealand-society-for-immunology-asi-2022/"/>
    <hyperlink ref="F174" r:id="rId108"/>
    <hyperlink ref="F176" r:id="rId109"/>
    <hyperlink ref="F182" r:id="rId110"/>
    <hyperlink ref="F183" r:id="rId111"/>
    <hyperlink ref="F184" r:id="rId112"/>
    <hyperlink ref="F189" r:id="rId113"/>
    <hyperlink ref="F190" r:id="rId114"/>
    <hyperlink ref="F191" r:id="rId115"/>
    <hyperlink ref="F192" r:id="rId116"/>
    <hyperlink ref="F199" r:id="rId117"/>
    <hyperlink ref="F200" r:id="rId118"/>
    <hyperlink ref="F201" r:id="rId119"/>
    <hyperlink ref="F202" r:id="rId120"/>
    <hyperlink ref="F203" r:id="rId121"/>
    <hyperlink ref="F204" r:id="rId122"/>
    <hyperlink ref="F205" r:id="rId123"/>
    <hyperlink ref="F206" r:id="rId124"/>
    <hyperlink ref="F207" r:id="rId125"/>
    <hyperlink ref="F208" r:id="rId126"/>
    <hyperlink ref="F209" r:id="rId127"/>
    <hyperlink ref="F210" r:id="rId128"/>
    <hyperlink ref="F211" r:id="rId129"/>
    <hyperlink ref="F212" r:id="rId130"/>
    <hyperlink ref="F213" r:id="rId131"/>
    <hyperlink ref="F215" r:id="rId132"/>
    <hyperlink ref="F216" r:id="rId133"/>
    <hyperlink ref="F217" r:id="rId134"/>
    <hyperlink ref="F218" r:id="rId135"/>
    <hyperlink ref="F219" r:id="rId136"/>
    <hyperlink ref="F220" r:id="rId137"/>
    <hyperlink ref="F221" r:id="rId138"/>
    <hyperlink ref="F222" r:id="rId139"/>
    <hyperlink ref="F223" r:id="rId140"/>
    <hyperlink ref="F224" r:id="rId141"/>
    <hyperlink ref="F225" r:id="rId142"/>
    <hyperlink ref="F226" r:id="rId143"/>
    <hyperlink ref="F124" r:id="rId144"/>
    <hyperlink ref="F125" r:id="rId145"/>
    <hyperlink ref="F227" r:id="rId146" location="/grid" display="https://events.dak2024.smart-abstract.com/ - /grid"/>
    <hyperlink ref="F228" r:id="rId147"/>
    <hyperlink ref="F229" r:id="rId148"/>
    <hyperlink ref="F230" r:id="rId149"/>
    <hyperlink ref="F231" r:id="rId150"/>
    <hyperlink ref="F232" r:id="rId151"/>
    <hyperlink ref="F233" r:id="rId152"/>
    <hyperlink ref="F237" r:id="rId153"/>
    <hyperlink ref="F238" r:id="rId154"/>
    <hyperlink ref="F239" r:id="rId155"/>
    <hyperlink ref="F240" r:id="rId156"/>
    <hyperlink ref="F246" r:id="rId157"/>
    <hyperlink ref="F247" r:id="rId158"/>
    <hyperlink ref="F248" r:id="rId159"/>
    <hyperlink ref="F269" r:id="rId160"/>
    <hyperlink ref="F270" r:id="rId161"/>
    <hyperlink ref="F271" r:id="rId162"/>
    <hyperlink ref="F272" r:id="rId163"/>
    <hyperlink ref="F273" r:id="rId164"/>
    <hyperlink ref="F274" r:id="rId165"/>
    <hyperlink ref="F275" r:id="rId166"/>
    <hyperlink ref="F276" r:id="rId167"/>
    <hyperlink ref="F277" r:id="rId168"/>
    <hyperlink ref="F278" r:id="rId169"/>
    <hyperlink ref="F279" r:id="rId170"/>
    <hyperlink ref="F280" r:id="rId171"/>
    <hyperlink ref="F281" r:id="rId172"/>
    <hyperlink ref="F282" r:id="rId173"/>
    <hyperlink ref="F283" r:id="rId174"/>
    <hyperlink ref="F284" r:id="rId175"/>
    <hyperlink ref="F285" r:id="rId176"/>
    <hyperlink ref="F286" r:id="rId177"/>
    <hyperlink ref="F287" r:id="rId178"/>
    <hyperlink ref="F288" r:id="rId179"/>
    <hyperlink ref="F289" r:id="rId180"/>
    <hyperlink ref="F290" r:id="rId181"/>
    <hyperlink ref="F291" r:id="rId182"/>
    <hyperlink ref="F292" r:id="rId183"/>
    <hyperlink ref="F76" r:id="rId184"/>
    <hyperlink ref="F77" r:id="rId185"/>
    <hyperlink ref="F51" r:id="rId186"/>
    <hyperlink ref="F52" r:id="rId187"/>
    <hyperlink ref="F53" r:id="rId188"/>
    <hyperlink ref="F54" r:id="rId189"/>
    <hyperlink ref="F55" r:id="rId190"/>
    <hyperlink ref="F294" r:id="rId191"/>
    <hyperlink ref="F295" r:id="rId192"/>
    <hyperlink ref="F296" r:id="rId193"/>
    <hyperlink ref="F297" r:id="rId194"/>
    <hyperlink ref="F56" r:id="rId195"/>
    <hyperlink ref="F57" r:id="rId196"/>
    <hyperlink ref="F58" r:id="rId197"/>
    <hyperlink ref="F59" r:id="rId198"/>
    <hyperlink ref="F60" r:id="rId199"/>
    <hyperlink ref="F12" r:id="rId200"/>
    <hyperlink ref="F13" r:id="rId201"/>
    <hyperlink ref="F14" r:id="rId202"/>
    <hyperlink ref="F15" r:id="rId203"/>
    <hyperlink ref="F78" r:id="rId204"/>
    <hyperlink ref="F79" r:id="rId205"/>
    <hyperlink ref="F308" r:id="rId206"/>
    <hyperlink ref="F309" r:id="rId207"/>
    <hyperlink ref="F310" r:id="rId208"/>
    <hyperlink ref="F316" r:id="rId209"/>
    <hyperlink ref="F317" r:id="rId210"/>
    <hyperlink ref="F318" r:id="rId211"/>
    <hyperlink ref="F319" r:id="rId212"/>
    <hyperlink ref="F324" r:id="rId213"/>
    <hyperlink ref="F325" r:id="rId214"/>
    <hyperlink ref="F326" r:id="rId215"/>
    <hyperlink ref="F327" r:id="rId216"/>
    <hyperlink ref="F328" r:id="rId217"/>
    <hyperlink ref="F329" r:id="rId218"/>
    <hyperlink ref="F330" r:id="rId219"/>
    <hyperlink ref="F331" r:id="rId220"/>
    <hyperlink ref="F332" r:id="rId221"/>
    <hyperlink ref="F333" r:id="rId222"/>
    <hyperlink ref="F334" r:id="rId223"/>
    <hyperlink ref="F335" r:id="rId224" display="https://allerji.kongresi.info/docs/Allerji 2023 program.pdf?a=200"/>
    <hyperlink ref="F336" r:id="rId225"/>
    <hyperlink ref="F337" r:id="rId226" location=":~:text=Ulusal%20Alerji%20ve%20Klinik%20%C4%B0mm%C3%BCnoloji%20Kongresinin%2C%20b%C3%BCt%C3%BCn%20%C3%A7abalar%C4%B1m%C4%B1za%20ra%C4%9Fmen%20fiziksel,2020%20tarihlerinde%20sanal%20olarak%20ger%C3%A7ekle%C5%9Ftirece%C4%9Fiz." display="https://www.aid.org.tr/xxvii-ulusal-alerji-ve-immunoloji-kongresi-24-28-ekim-2020/ - :~:text=Ulusal%20Alerji%20ve%20Klinik%20%C4%B0mm%C3%BCnoloji%20Kongresinin%2C%20b%C3%BCt%C3%BCn%20%C3%A7abalar%C4%B1m%C4%B1za%20ra%C4%9Fmen%20fiziksel,2020%20tarihlerinde%20sanal%20olarak%20ger%C3%A7ekle%C5%9Ftirece%C4%9Fiz."/>
    <hyperlink ref="F343" r:id="rId227"/>
    <hyperlink ref="F344" r:id="rId228"/>
    <hyperlink ref="F345" r:id="rId229"/>
    <hyperlink ref="F346" r:id="rId230"/>
    <hyperlink ref="F353" r:id="rId231"/>
    <hyperlink ref="F354" r:id="rId232"/>
    <hyperlink ref="F355" r:id="rId233"/>
    <hyperlink ref="F356" r:id="rId234"/>
    <hyperlink ref="F358" r:id="rId235"/>
    <hyperlink ref="F359" r:id="rId236"/>
    <hyperlink ref="F360" r:id="rId237"/>
    <hyperlink ref="F361" r:id="rId238"/>
    <hyperlink ref="F357" r:id="rId239"/>
    <hyperlink ref="F367" r:id="rId240"/>
    <hyperlink ref="F371" r:id="rId241" display="https://www.aaaai.org/Aaaai/media/Media-Library-PDFs/Members Area/am24-FinProg-v19_lo-res.pdf"/>
    <hyperlink ref="F372" r:id="rId242"/>
    <hyperlink ref="F373" r:id="rId243"/>
    <hyperlink ref="F374" r:id="rId244"/>
    <hyperlink ref="F375" r:id="rId245"/>
    <hyperlink ref="F376" r:id="rId246"/>
    <hyperlink ref="F377" r:id="rId247"/>
    <hyperlink ref="F378" r:id="rId248"/>
    <hyperlink ref="F379" r:id="rId249"/>
    <hyperlink ref="F381" r:id="rId250"/>
    <hyperlink ref="F382" r:id="rId251"/>
    <hyperlink ref="F383" r:id="rId252"/>
    <hyperlink ref="F384" r:id="rId253"/>
    <hyperlink ref="F385" r:id="rId254"/>
    <hyperlink ref="F396" r:id="rId255" display="https://congresoercal.com/es/congreso-de-enfermedades-raras-agenda/"/>
    <hyperlink ref="F397" r:id="rId256"/>
    <hyperlink ref="F403" r:id="rId257"/>
    <hyperlink ref="F404" r:id="rId258"/>
    <hyperlink ref="F405" r:id="rId259"/>
    <hyperlink ref="F406" r:id="rId260"/>
    <hyperlink ref="F407" r:id="rId261"/>
    <hyperlink ref="F415" r:id="rId262"/>
    <hyperlink ref="F421" r:id="rId263"/>
    <hyperlink ref="F422" r:id="rId264"/>
    <hyperlink ref="F423" r:id="rId265"/>
    <hyperlink ref="F424" r:id="rId266"/>
    <hyperlink ref="F45" r:id="rId267"/>
    <hyperlink ref="F49" r:id="rId268"/>
    <hyperlink ref="F252" r:id="rId269"/>
    <hyperlink ref="F408" r:id="rId270"/>
    <hyperlink ref="F413" r:id="rId271"/>
    <hyperlink ref="F410" r:id="rId272"/>
    <hyperlink ref="F409" r:id="rId273"/>
    <hyperlink ref="F411" r:id="rId274"/>
    <hyperlink ref="F412" r:id="rId275"/>
    <hyperlink ref="F414" r:id="rId276"/>
    <hyperlink ref="F391" r:id="rId277"/>
    <hyperlink ref="F392" r:id="rId278"/>
    <hyperlink ref="F393" r:id="rId279"/>
    <hyperlink ref="F394" r:id="rId280"/>
    <hyperlink ref="F395" r:id="rId281" location="!/9070" display="https://www.abstractsonline.com/pp8/ - !/9070"/>
    <hyperlink ref="F368" r:id="rId282"/>
    <hyperlink ref="F369" r:id="rId283"/>
    <hyperlink ref="F370" r:id="rId284"/>
    <hyperlink ref="F386" r:id="rId285"/>
    <hyperlink ref="F387" r:id="rId286"/>
    <hyperlink ref="F388" r:id="rId287"/>
    <hyperlink ref="F350" r:id="rId288" display="https://public.rsb.org.uk/BSGM Conference 2024 Preliminary Programme - 11-09-2024.pdf"/>
    <hyperlink ref="F351" r:id="rId289"/>
    <hyperlink ref="F352" r:id="rId290"/>
    <hyperlink ref="F362" r:id="rId291" display="https://public.rsb.org.uk/Draft Programme - GenSoc Nov 2024.pdf"/>
    <hyperlink ref="F363" r:id="rId292"/>
    <hyperlink ref="F364" r:id="rId293"/>
    <hyperlink ref="F366" r:id="rId294"/>
    <hyperlink ref="F365" r:id="rId295"/>
    <hyperlink ref="F134" r:id="rId296"/>
    <hyperlink ref="F135" r:id="rId297"/>
    <hyperlink ref="F136" r:id="rId298"/>
    <hyperlink ref="F137" r:id="rId299"/>
    <hyperlink ref="F138" r:id="rId300"/>
    <hyperlink ref="F338" r:id="rId301"/>
    <hyperlink ref="F340" r:id="rId302"/>
    <hyperlink ref="F342" r:id="rId303"/>
    <hyperlink ref="F339" r:id="rId304"/>
    <hyperlink ref="F341" r:id="rId305"/>
    <hyperlink ref="F303" r:id="rId306" display="https://www.geneticahumana.org/documentos/genetica programa vertical 23.pdf"/>
    <hyperlink ref="F306" r:id="rId307"/>
    <hyperlink ref="F304" r:id="rId308"/>
    <hyperlink ref="F305" r:id="rId309"/>
    <hyperlink ref="F307" r:id="rId310"/>
    <hyperlink ref="F321" r:id="rId311"/>
    <hyperlink ref="F320" r:id="rId312"/>
    <hyperlink ref="F311" r:id="rId313"/>
    <hyperlink ref="F312" r:id="rId314"/>
    <hyperlink ref="F313" r:id="rId315"/>
    <hyperlink ref="F314" r:id="rId316"/>
    <hyperlink ref="F322" r:id="rId317"/>
    <hyperlink ref="F323" r:id="rId318"/>
    <hyperlink ref="F61" r:id="rId319"/>
    <hyperlink ref="F62" r:id="rId320"/>
    <hyperlink ref="F63" r:id="rId321"/>
    <hyperlink ref="F64" r:id="rId322"/>
    <hyperlink ref="F65" r:id="rId323"/>
    <hyperlink ref="F259" r:id="rId324"/>
    <hyperlink ref="F262" r:id="rId325"/>
    <hyperlink ref="F260" r:id="rId326"/>
    <hyperlink ref="F263" r:id="rId327"/>
    <hyperlink ref="F261" r:id="rId328"/>
    <hyperlink ref="F193" r:id="rId329"/>
    <hyperlink ref="F196" r:id="rId330"/>
    <hyperlink ref="F194" r:id="rId331"/>
    <hyperlink ref="F195" r:id="rId332"/>
    <hyperlink ref="F347" r:id="rId333"/>
    <hyperlink ref="F348" r:id="rId334"/>
    <hyperlink ref="F349" r:id="rId335"/>
    <hyperlink ref="F241" r:id="rId336"/>
    <hyperlink ref="F242" r:id="rId337"/>
    <hyperlink ref="F243" r:id="rId338"/>
    <hyperlink ref="F244" r:id="rId339"/>
    <hyperlink ref="F245" r:id="rId340"/>
    <hyperlink ref="F159" r:id="rId341"/>
    <hyperlink ref="F156" r:id="rId342"/>
    <hyperlink ref="F157" r:id="rId343"/>
    <hyperlink ref="F160" r:id="rId344"/>
    <hyperlink ref="F158" r:id="rId345"/>
    <hyperlink ref="F234" r:id="rId346"/>
    <hyperlink ref="F235" r:id="rId347"/>
    <hyperlink ref="F236" r:id="rId348"/>
    <hyperlink ref="F293" r:id="rId349" display="https://ssmg.org.sa/wp-content/uploads/2024/01/%D8%AC%D8%AF%D9%88%D9%84-%D9%85%D9%88%D9%94%D8%AA%D9%85%D8%B1-%D8%A7%D9%84%D8%AC%D9%85%D8%B9%D9%8A%D8%A9-%D8%A7%D9%84%D8%B3%D8%B9%D9%88%D8%AF%D9%8A%D8%A9-%D9%84%D9%84%D8%B7%D8%A8-%D8%A7%D9%84%D9%88%D8%B1%D8%A7%D8%AB%D9%8A-%D8%A8%D8%AC%D8%A7%D8%B2%D8%A7%D9%86.pdf"/>
    <hyperlink ref="F389" r:id="rId350"/>
    <hyperlink ref="F390" r:id="rId351"/>
    <hyperlink ref="F197" r:id="rId352"/>
    <hyperlink ref="F198" r:id="rId353"/>
    <hyperlink ref="F46" r:id="rId354"/>
    <hyperlink ref="F47" r:id="rId355"/>
    <hyperlink ref="F48" r:id="rId356"/>
    <hyperlink ref="F35" r:id="rId357"/>
    <hyperlink ref="F398" r:id="rId358"/>
    <hyperlink ref="F298" r:id="rId359"/>
    <hyperlink ref="F299" r:id="rId360"/>
    <hyperlink ref="F300" r:id="rId361"/>
    <hyperlink ref="F301" r:id="rId362"/>
    <hyperlink ref="F302" r:id="rId363"/>
    <hyperlink ref="F264" r:id="rId364"/>
    <hyperlink ref="F265" r:id="rId365"/>
    <hyperlink ref="F266" r:id="rId366"/>
    <hyperlink ref="F267" r:id="rId367"/>
    <hyperlink ref="F268" r:id="rId368"/>
    <hyperlink ref="F249" r:id="rId369" location="Welcome" display="https://gsj96kochi.com/ - Welcome"/>
    <hyperlink ref="F250" r:id="rId370"/>
    <hyperlink ref="F251" r:id="rId371"/>
    <hyperlink ref="F253" r:id="rId372"/>
    <hyperlink ref="F254" r:id="rId373"/>
    <hyperlink ref="F255" r:id="rId374"/>
    <hyperlink ref="F256" r:id="rId375"/>
    <hyperlink ref="F257" r:id="rId376"/>
    <hyperlink ref="F258" r:id="rId377"/>
    <hyperlink ref="F27" r:id="rId378"/>
    <hyperlink ref="F9" r:id="rId379"/>
    <hyperlink ref="F10" r:id="rId380"/>
    <hyperlink ref="F416" r:id="rId381"/>
    <hyperlink ref="F417" r:id="rId382" display="https://www.nsgc.org/Portals/0/Recruitment Resources/NSGC_23_AC_VirtualAttendeeGuide_Final.pdf"/>
    <hyperlink ref="F418" r:id="rId383"/>
    <hyperlink ref="F419" r:id="rId384" display="https://www.nsgc.org/Portals/0/NSGC 40th Annual Conference Program Book.pdf"/>
    <hyperlink ref="F420" r:id="rId385" display="https://www.nsgc.org/Portals/0/Docs/AnnualConference/2020/NSGC 2020 Virtual Annual Conference Final Program.pdf"/>
    <hyperlink ref="F380" r:id="rId386"/>
    <hyperlink ref="F399" r:id="rId387"/>
    <hyperlink ref="F400" r:id="rId388"/>
    <hyperlink ref="F401" r:id="rId389"/>
    <hyperlink ref="F402" r:id="rId390"/>
    <hyperlink ref="F66" r:id="rId391"/>
    <hyperlink ref="F67" r:id="rId392"/>
    <hyperlink ref="F68" r:id="rId393"/>
    <hyperlink ref="F69" r:id="rId394"/>
    <hyperlink ref="F70" r:id="rId395"/>
    <hyperlink ref="F28" r:id="rId396"/>
    <hyperlink ref="F29" r:id="rId397"/>
    <hyperlink ref="F30" r:id="rId398"/>
    <hyperlink ref="F118" r:id="rId399"/>
    <hyperlink ref="F119" r:id="rId400"/>
    <hyperlink ref="F175" r:id="rId401"/>
    <hyperlink ref="F179" r:id="rId402"/>
    <hyperlink ref="F180" r:id="rId403"/>
    <hyperlink ref="F181" r:id="rId404"/>
    <hyperlink ref="F177" r:id="rId405"/>
    <hyperlink ref="F178" r:id="rId406"/>
    <hyperlink ref="F165" r:id="rId407"/>
    <hyperlink ref="F166" r:id="rId408"/>
    <hyperlink ref="F31" r:id="rId409"/>
    <hyperlink ref="F32" r:id="rId410"/>
    <hyperlink ref="F33" r:id="rId411"/>
    <hyperlink ref="F34" r:id="rId412"/>
    <hyperlink ref="F185" r:id="rId413"/>
    <hyperlink ref="F186" r:id="rId414"/>
    <hyperlink ref="F187" r:id="rId415"/>
    <hyperlink ref="F188" r:id="rId416"/>
    <hyperlink ref="F38" r:id="rId417"/>
    <hyperlink ref="F43" r:id="rId418"/>
    <hyperlink ref="F26" r:id="rId419"/>
    <hyperlink ref="F315" r:id="rId420"/>
  </hyperlinks>
  <pageMargins left="0.7" right="0.7" top="0.75" bottom="0.75" header="0.3" footer="0.3"/>
  <pageSetup orientation="portrait" r:id="rId4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sheetPr>
  <dimension ref="A1:H83"/>
  <sheetViews>
    <sheetView showGridLines="0" workbookViewId="0">
      <pane xSplit="2" ySplit="4" topLeftCell="C5" activePane="bottomRight" state="frozen"/>
      <selection pane="topRight"/>
      <selection pane="bottomLeft"/>
      <selection pane="bottomRight" activeCell="C5" sqref="C5"/>
    </sheetView>
  </sheetViews>
  <sheetFormatPr defaultColWidth="9" defaultRowHeight="15" customHeight="1"/>
  <cols>
    <col min="1" max="1" width="6.140625" customWidth="1"/>
    <col min="2" max="2" width="70.85546875" customWidth="1"/>
    <col min="3" max="4" width="15.85546875" customWidth="1"/>
    <col min="5" max="5" width="21.140625" customWidth="1"/>
    <col min="6" max="6" width="27" customWidth="1"/>
    <col min="7" max="7" width="17.140625" customWidth="1"/>
    <col min="8" max="8" width="45.85546875" customWidth="1"/>
  </cols>
  <sheetData>
    <row r="1" spans="1:8" ht="25.35" customHeight="1">
      <c r="A1" s="70" t="s">
        <v>0</v>
      </c>
      <c r="B1" s="70"/>
      <c r="C1" s="70"/>
      <c r="D1" s="70"/>
      <c r="E1" s="70"/>
      <c r="F1" s="70"/>
      <c r="G1" s="70"/>
      <c r="H1" s="70"/>
    </row>
    <row r="2" spans="1:8" ht="15" customHeight="1">
      <c r="A2" s="71" t="s">
        <v>70</v>
      </c>
      <c r="B2" s="72"/>
      <c r="C2" s="72"/>
      <c r="D2" s="72"/>
      <c r="E2" s="72"/>
      <c r="F2" s="72"/>
      <c r="G2" s="72"/>
      <c r="H2" s="72"/>
    </row>
    <row r="3" spans="1:8" ht="15" customHeight="1">
      <c r="A3" s="72"/>
      <c r="B3" s="72"/>
      <c r="C3" s="72"/>
      <c r="D3" s="72"/>
      <c r="E3" s="72"/>
      <c r="F3" s="72"/>
      <c r="G3" s="72"/>
      <c r="H3" s="72"/>
    </row>
    <row r="4" spans="1:8" ht="28.5" customHeight="1">
      <c r="A4" s="7" t="s">
        <v>2</v>
      </c>
      <c r="B4" s="11" t="s">
        <v>2156</v>
      </c>
      <c r="C4" s="7" t="s">
        <v>12</v>
      </c>
      <c r="D4" s="7" t="s">
        <v>13</v>
      </c>
      <c r="E4" s="11" t="s">
        <v>22</v>
      </c>
      <c r="F4" s="7" t="s">
        <v>5</v>
      </c>
      <c r="G4" s="11" t="s">
        <v>1572</v>
      </c>
      <c r="H4" s="11" t="s">
        <v>6</v>
      </c>
    </row>
    <row r="5" spans="1:8" ht="15.95" customHeight="1">
      <c r="A5" s="3">
        <v>1</v>
      </c>
      <c r="B5" s="17" t="str">
        <f>HYPERLINK("https://www.globalrarediseasecommission.com/","Global Commission to End the Diagnostic Odyssey for Children with a Rare Disease")</f>
        <v>Global Commission to End the Diagnostic Odyssey for Children with a Rare Disease</v>
      </c>
      <c r="C5" s="4" t="s">
        <v>14</v>
      </c>
      <c r="D5" s="4" t="s">
        <v>14</v>
      </c>
      <c r="E5" s="4"/>
      <c r="F5" s="17" t="s">
        <v>310</v>
      </c>
      <c r="G5" s="35" t="s">
        <v>2031</v>
      </c>
      <c r="H5" s="4"/>
    </row>
    <row r="6" spans="1:8" ht="15.95" customHeight="1">
      <c r="A6" s="3">
        <v>2</v>
      </c>
      <c r="B6" s="17" t="str">
        <f>HYPERLINK("https://globalgenes.org/","Global Genes")</f>
        <v>Global Genes</v>
      </c>
      <c r="C6" s="4" t="s">
        <v>14</v>
      </c>
      <c r="D6" s="4" t="s">
        <v>14</v>
      </c>
      <c r="E6" s="4" t="s">
        <v>18</v>
      </c>
      <c r="F6" s="17" t="s">
        <v>311</v>
      </c>
      <c r="G6" s="35" t="s">
        <v>2030</v>
      </c>
      <c r="H6" s="4"/>
    </row>
    <row r="7" spans="1:8" ht="15.95" customHeight="1">
      <c r="A7" s="3">
        <v>3</v>
      </c>
      <c r="B7" s="17" t="str">
        <f>HYPERLINK("https://ipopi.org/","International Patient Organization for Primary Immunodeficiencies (IPOPI)")</f>
        <v>International Patient Organization for Primary Immunodeficiencies (IPOPI)</v>
      </c>
      <c r="C7" s="4" t="s">
        <v>14</v>
      </c>
      <c r="D7" s="4" t="s">
        <v>14</v>
      </c>
      <c r="E7" s="4" t="s">
        <v>18</v>
      </c>
      <c r="F7" s="17" t="s">
        <v>272</v>
      </c>
      <c r="G7" s="35">
        <v>1</v>
      </c>
      <c r="H7" s="4"/>
    </row>
    <row r="8" spans="1:8" ht="15.95" customHeight="1">
      <c r="A8" s="3">
        <v>4</v>
      </c>
      <c r="B8" s="17" t="str">
        <f>HYPERLINK("https://www.ngocommitteerarediseases.org/","NGO Committee for Rare Diseases")</f>
        <v>NGO Committee for Rare Diseases</v>
      </c>
      <c r="C8" s="4" t="s">
        <v>14</v>
      </c>
      <c r="D8" s="4" t="s">
        <v>14</v>
      </c>
      <c r="E8" s="4"/>
      <c r="F8" s="17" t="s">
        <v>314</v>
      </c>
      <c r="G8" s="35" t="s">
        <v>2031</v>
      </c>
      <c r="H8" s="4"/>
    </row>
    <row r="9" spans="1:8" ht="15.95" customHeight="1">
      <c r="A9" s="3">
        <v>5</v>
      </c>
      <c r="B9" s="17" t="str">
        <f>HYPERLINK("https://www.rarediseasesinternational.org/","Rare Diseases International")</f>
        <v>Rare Diseases International</v>
      </c>
      <c r="C9" s="4" t="s">
        <v>14</v>
      </c>
      <c r="D9" s="4" t="s">
        <v>14</v>
      </c>
      <c r="E9" s="4" t="s">
        <v>88</v>
      </c>
      <c r="F9" s="17" t="s">
        <v>316</v>
      </c>
      <c r="G9" s="35" t="s">
        <v>2031</v>
      </c>
      <c r="H9" s="4"/>
    </row>
    <row r="10" spans="1:8" ht="15.95" customHeight="1">
      <c r="A10" s="3">
        <v>6</v>
      </c>
      <c r="B10" s="17" t="str">
        <f>HYPERLINK("https://www.apardo.org/","Asia Pacific Alliance for Rare Disease Organisations")</f>
        <v>Asia Pacific Alliance for Rare Disease Organisations</v>
      </c>
      <c r="C10" s="4" t="s">
        <v>114</v>
      </c>
      <c r="D10" s="4" t="s">
        <v>380</v>
      </c>
      <c r="E10" s="4" t="s">
        <v>308</v>
      </c>
      <c r="F10" s="17" t="s">
        <v>309</v>
      </c>
      <c r="G10" s="35" t="s">
        <v>2031</v>
      </c>
      <c r="H10" s="4"/>
    </row>
    <row r="11" spans="1:8" ht="15.95" customHeight="1">
      <c r="A11" s="3">
        <v>7</v>
      </c>
      <c r="B11" s="17" t="str">
        <f>HYPERLINK("https://www.eurordis.org/","European Organization for Rare Diseases (EURORDIS)")</f>
        <v>European Organization for Rare Diseases (EURORDIS)</v>
      </c>
      <c r="C11" s="4" t="s">
        <v>114</v>
      </c>
      <c r="D11" s="4" t="s">
        <v>115</v>
      </c>
      <c r="E11" s="4" t="s">
        <v>88</v>
      </c>
      <c r="F11" s="17" t="s">
        <v>360</v>
      </c>
      <c r="G11" s="35" t="s">
        <v>2031</v>
      </c>
      <c r="H11" s="4"/>
    </row>
    <row r="12" spans="1:8" ht="15.95" customHeight="1">
      <c r="A12" s="3">
        <v>8</v>
      </c>
      <c r="B12" s="17" t="str">
        <f>HYPERLINK("https://ern-rita.org/","European Reference Network on Rare Immunodeficiencies, Autoinflammatory Diseases and Autoimmune Diseases (ERN-RITA)")</f>
        <v>European Reference Network on Rare Immunodeficiencies, Autoinflammatory Diseases and Autoimmune Diseases (ERN-RITA)</v>
      </c>
      <c r="C12" s="4" t="s">
        <v>114</v>
      </c>
      <c r="D12" s="4" t="s">
        <v>115</v>
      </c>
      <c r="E12" s="4" t="s">
        <v>116</v>
      </c>
      <c r="F12" s="17" t="s">
        <v>305</v>
      </c>
      <c r="G12" s="35">
        <v>2</v>
      </c>
      <c r="H12" s="4"/>
    </row>
    <row r="13" spans="1:8" ht="15.95" customHeight="1">
      <c r="A13" s="3">
        <v>9</v>
      </c>
      <c r="B13" s="17" t="str">
        <f>HYPERLINK("https://iniciativaalas.org/","ALAS Initiative")</f>
        <v>ALAS Initiative</v>
      </c>
      <c r="C13" s="4" t="s">
        <v>114</v>
      </c>
      <c r="D13" s="4" t="s">
        <v>295</v>
      </c>
      <c r="E13" s="4" t="s">
        <v>161</v>
      </c>
      <c r="F13" s="17" t="s">
        <v>296</v>
      </c>
      <c r="G13" s="35">
        <v>1</v>
      </c>
      <c r="H13" s="4"/>
    </row>
    <row r="14" spans="1:8" ht="15.95" customHeight="1">
      <c r="A14" s="3">
        <v>10</v>
      </c>
      <c r="B14" s="17" t="str">
        <f>HYPERLINK("https://aliber.org/web/","Ibero-American Alliance for Rare Diseases")</f>
        <v>Ibero-American Alliance for Rare Diseases</v>
      </c>
      <c r="C14" s="4" t="s">
        <v>114</v>
      </c>
      <c r="D14" s="4" t="s">
        <v>295</v>
      </c>
      <c r="E14" s="4" t="s">
        <v>107</v>
      </c>
      <c r="F14" s="17" t="s">
        <v>313</v>
      </c>
      <c r="G14" s="35" t="s">
        <v>2031</v>
      </c>
      <c r="H14" s="4"/>
    </row>
    <row r="15" spans="1:8" ht="15.95" customHeight="1">
      <c r="A15" s="3">
        <v>11</v>
      </c>
      <c r="B15" s="17" t="str">
        <f>HYPERLINK("https://fundaciongeiser.org/","Rare Diseases Liaison, Research and Support Group of Latin America (GEISER Foundation)")</f>
        <v>Rare Diseases Liaison, Research and Support Group of Latin America (GEISER Foundation)</v>
      </c>
      <c r="C15" s="4" t="s">
        <v>114</v>
      </c>
      <c r="D15" s="4" t="s">
        <v>295</v>
      </c>
      <c r="E15" s="4" t="s">
        <v>161</v>
      </c>
      <c r="F15" s="17" t="s">
        <v>361</v>
      </c>
      <c r="G15" s="35" t="s">
        <v>2031</v>
      </c>
      <c r="H15" s="4"/>
    </row>
    <row r="16" spans="1:8" ht="15.95" customHeight="1">
      <c r="A16" s="3">
        <v>12</v>
      </c>
      <c r="B16" s="17" t="str">
        <f>HYPERLINK("https://ercalgroup.org/","Rare Diseases in the Caribbean and Latin America (ERCAL)")</f>
        <v>Rare Diseases in the Caribbean and Latin America (ERCAL)</v>
      </c>
      <c r="C16" s="4" t="s">
        <v>114</v>
      </c>
      <c r="D16" s="4" t="s">
        <v>363</v>
      </c>
      <c r="E16" s="4"/>
      <c r="F16" s="17" t="s">
        <v>364</v>
      </c>
      <c r="G16" s="35" t="s">
        <v>2031</v>
      </c>
      <c r="H16" s="4"/>
    </row>
    <row r="17" spans="1:8" ht="15.95" customHeight="1">
      <c r="A17" s="3">
        <v>13</v>
      </c>
      <c r="B17" s="17" t="str">
        <f>HYPERLINK("https://aapidp.com.ar/","Argentine Association for the Aid of the Patient with Primary Immunodeficiency (AAPIDP)")</f>
        <v>Argentine Association for the Aid of the Patient with Primary Immunodeficiency (AAPIDP)</v>
      </c>
      <c r="C17" s="4" t="s">
        <v>15</v>
      </c>
      <c r="D17" s="4" t="s">
        <v>161</v>
      </c>
      <c r="E17" s="4" t="s">
        <v>161</v>
      </c>
      <c r="F17" s="17" t="s">
        <v>275</v>
      </c>
      <c r="G17" s="35">
        <v>1</v>
      </c>
      <c r="H17" s="4"/>
    </row>
    <row r="18" spans="1:8" ht="15.95" customHeight="1">
      <c r="A18" s="3">
        <v>14</v>
      </c>
      <c r="B18" s="17" t="str">
        <f>HYPERLINK("https://fadepof.org.ar/","Argentine Federation of Rare Diseases")</f>
        <v>Argentine Federation of Rare Diseases</v>
      </c>
      <c r="C18" s="4" t="s">
        <v>15</v>
      </c>
      <c r="D18" s="4" t="s">
        <v>161</v>
      </c>
      <c r="E18" s="4" t="s">
        <v>161</v>
      </c>
      <c r="F18" s="17" t="s">
        <v>318</v>
      </c>
      <c r="G18" s="35" t="s">
        <v>2031</v>
      </c>
      <c r="H18" s="4"/>
    </row>
    <row r="19" spans="1:8" ht="15.95" customHeight="1">
      <c r="A19" s="3">
        <v>15</v>
      </c>
      <c r="B19" s="17" t="str">
        <f>HYPERLINK("https://www.fundacionenhue.org/","Enhué Foundation")</f>
        <v>Enhué Foundation</v>
      </c>
      <c r="C19" s="4" t="s">
        <v>15</v>
      </c>
      <c r="D19" s="4" t="s">
        <v>161</v>
      </c>
      <c r="E19" s="4" t="s">
        <v>161</v>
      </c>
      <c r="F19" s="17" t="s">
        <v>319</v>
      </c>
      <c r="G19" s="35" t="s">
        <v>2031</v>
      </c>
      <c r="H19" s="4"/>
    </row>
    <row r="20" spans="1:8" ht="15.95" customHeight="1">
      <c r="A20" s="3">
        <v>16</v>
      </c>
      <c r="B20" s="17" t="str">
        <f>HYPERLINK("https://www.auspips.org.au/","AusPIPS")</f>
        <v>AusPIPS</v>
      </c>
      <c r="C20" s="4" t="s">
        <v>15</v>
      </c>
      <c r="D20" s="4" t="s">
        <v>162</v>
      </c>
      <c r="E20" s="4" t="s">
        <v>162</v>
      </c>
      <c r="F20" s="17" t="s">
        <v>273</v>
      </c>
      <c r="G20" s="35">
        <v>1</v>
      </c>
      <c r="H20" s="4"/>
    </row>
    <row r="21" spans="1:8" ht="15.95" customHeight="1">
      <c r="A21" s="3">
        <v>17</v>
      </c>
      <c r="B21" s="17" t="str">
        <f>HYPERLINK("https://www.geneticalliance.org.au/","Genetic Alliance Australia")</f>
        <v>Genetic Alliance Australia</v>
      </c>
      <c r="C21" s="4" t="s">
        <v>15</v>
      </c>
      <c r="D21" s="4" t="s">
        <v>162</v>
      </c>
      <c r="E21" s="4" t="s">
        <v>162</v>
      </c>
      <c r="F21" s="17" t="s">
        <v>321</v>
      </c>
      <c r="G21" s="35" t="s">
        <v>2030</v>
      </c>
      <c r="H21" s="4"/>
    </row>
    <row r="22" spans="1:8" ht="15.95" customHeight="1">
      <c r="A22" s="3">
        <v>18</v>
      </c>
      <c r="B22" s="17" t="str">
        <f>HYPERLINK("https://www.idfa.org.au/","Immune Deficiencies Foundation Australia")</f>
        <v>Immune Deficiencies Foundation Australia</v>
      </c>
      <c r="C22" s="4" t="s">
        <v>15</v>
      </c>
      <c r="D22" s="4" t="s">
        <v>162</v>
      </c>
      <c r="E22" s="4" t="s">
        <v>162</v>
      </c>
      <c r="F22" s="17" t="s">
        <v>298</v>
      </c>
      <c r="G22" s="35">
        <v>2</v>
      </c>
      <c r="H22" s="4"/>
    </row>
    <row r="23" spans="1:8" ht="15.95" customHeight="1">
      <c r="A23" s="3">
        <v>19</v>
      </c>
      <c r="B23" s="17" t="str">
        <f>HYPERLINK("https://rarevoices.org.au/","Rare Voices Australia")</f>
        <v>Rare Voices Australia</v>
      </c>
      <c r="C23" s="4" t="s">
        <v>15</v>
      </c>
      <c r="D23" s="4" t="s">
        <v>162</v>
      </c>
      <c r="E23" s="4" t="s">
        <v>162</v>
      </c>
      <c r="F23" s="17" t="s">
        <v>322</v>
      </c>
      <c r="G23" s="35" t="s">
        <v>2031</v>
      </c>
      <c r="H23" s="4"/>
    </row>
    <row r="24" spans="1:8" ht="15.95" customHeight="1">
      <c r="A24" s="3">
        <v>20</v>
      </c>
      <c r="B24" s="17" t="str">
        <f>HYPERLINK("https://www.stevewaughfoundation.com.au/","Steve Waugh Foundation")</f>
        <v>Steve Waugh Foundation</v>
      </c>
      <c r="C24" s="4" t="s">
        <v>15</v>
      </c>
      <c r="D24" s="4" t="s">
        <v>162</v>
      </c>
      <c r="E24" s="4" t="s">
        <v>162</v>
      </c>
      <c r="F24" s="17" t="s">
        <v>323</v>
      </c>
      <c r="G24" s="35" t="s">
        <v>2031</v>
      </c>
      <c r="H24" s="4"/>
    </row>
    <row r="25" spans="1:8" ht="15.95" customHeight="1">
      <c r="A25" s="3">
        <v>21</v>
      </c>
      <c r="B25" s="17" t="str">
        <f>HYPERLINK("https://feberraras.wixsite.com/feber-raras","Brazilian Association of Rare Diseases (FEBER)")</f>
        <v>Brazilian Association of Rare Diseases (FEBER)</v>
      </c>
      <c r="C25" s="4" t="s">
        <v>15</v>
      </c>
      <c r="D25" s="4" t="s">
        <v>276</v>
      </c>
      <c r="E25" s="4" t="s">
        <v>276</v>
      </c>
      <c r="F25" s="17" t="s">
        <v>324</v>
      </c>
      <c r="G25" s="35" t="s">
        <v>2031</v>
      </c>
      <c r="H25" s="4"/>
    </row>
    <row r="26" spans="1:8" ht="15.95" customHeight="1">
      <c r="A26" s="3">
        <v>22</v>
      </c>
      <c r="B26" s="17" t="str">
        <f>HYPERLINK("https://casahunter.org.br/","Casa Hunter")</f>
        <v>Casa Hunter</v>
      </c>
      <c r="C26" s="4" t="s">
        <v>15</v>
      </c>
      <c r="D26" s="4" t="s">
        <v>276</v>
      </c>
      <c r="E26" s="4" t="s">
        <v>276</v>
      </c>
      <c r="F26" s="17" t="s">
        <v>325</v>
      </c>
      <c r="G26" s="35" t="s">
        <v>2031</v>
      </c>
      <c r="H26" s="4"/>
    </row>
    <row r="27" spans="1:8" ht="15.95" customHeight="1">
      <c r="A27" s="3">
        <v>23</v>
      </c>
      <c r="B27" s="17" t="str">
        <f>HYPERLINK("https://eulutopelaimunobrasil.org.br/","Eu Luto Pela Imuno Brasil")</f>
        <v>Eu Luto Pela Imuno Brasil</v>
      </c>
      <c r="C27" s="4" t="s">
        <v>15</v>
      </c>
      <c r="D27" s="4" t="s">
        <v>276</v>
      </c>
      <c r="E27" s="4" t="s">
        <v>276</v>
      </c>
      <c r="F27" s="17" t="s">
        <v>306</v>
      </c>
      <c r="G27" s="35">
        <v>1</v>
      </c>
      <c r="H27" s="4"/>
    </row>
    <row r="28" spans="1:8" ht="15.95" customHeight="1">
      <c r="A28" s="3">
        <v>24</v>
      </c>
      <c r="B28" s="17" t="str">
        <f>HYPERLINK("https://anpic.org.br/","National Association of People with Primary Congenital Immunodeficiency")</f>
        <v>National Association of People with Primary Congenital Immunodeficiency</v>
      </c>
      <c r="C28" s="4" t="s">
        <v>15</v>
      </c>
      <c r="D28" s="4" t="s">
        <v>276</v>
      </c>
      <c r="E28" s="4" t="s">
        <v>276</v>
      </c>
      <c r="F28" s="17" t="s">
        <v>277</v>
      </c>
      <c r="G28" s="35">
        <v>1</v>
      </c>
      <c r="H28" s="4"/>
    </row>
    <row r="29" spans="1:8" ht="15.95" customHeight="1">
      <c r="A29" s="3">
        <v>25</v>
      </c>
      <c r="B29" s="17" t="str">
        <f>HYPERLINK("https://vidasraras.org.br/sitewp/","Rare Lives Institute")</f>
        <v>Rare Lives Institute</v>
      </c>
      <c r="C29" s="4" t="s">
        <v>15</v>
      </c>
      <c r="D29" s="4" t="s">
        <v>276</v>
      </c>
      <c r="E29" s="4" t="s">
        <v>276</v>
      </c>
      <c r="F29" s="17" t="s">
        <v>326</v>
      </c>
      <c r="G29" s="35" t="s">
        <v>2031</v>
      </c>
      <c r="H29" s="4"/>
    </row>
    <row r="30" spans="1:8" ht="15.95" customHeight="1">
      <c r="A30" s="3">
        <v>26</v>
      </c>
      <c r="B30" s="17" t="str">
        <f>HYPERLINK("https://www.raredisorders.ca/","Canadian Organization for Rare Disorders")</f>
        <v>Canadian Organization for Rare Disorders</v>
      </c>
      <c r="C30" s="4" t="s">
        <v>15</v>
      </c>
      <c r="D30" s="4" t="s">
        <v>23</v>
      </c>
      <c r="E30" s="4" t="s">
        <v>23</v>
      </c>
      <c r="F30" s="17" t="s">
        <v>2042</v>
      </c>
      <c r="G30" s="35" t="s">
        <v>2031</v>
      </c>
      <c r="H30" s="4"/>
    </row>
    <row r="31" spans="1:8" ht="15.95" customHeight="1">
      <c r="A31" s="3">
        <v>27</v>
      </c>
      <c r="B31" s="17" t="str">
        <f>HYPERLINK("https://immunitycanada.org/","Immunity Canada")</f>
        <v>Immunity Canada</v>
      </c>
      <c r="C31" s="4" t="s">
        <v>15</v>
      </c>
      <c r="D31" s="4" t="s">
        <v>23</v>
      </c>
      <c r="E31" s="4" t="s">
        <v>23</v>
      </c>
      <c r="F31" s="17" t="s">
        <v>279</v>
      </c>
      <c r="G31" s="35">
        <v>1</v>
      </c>
      <c r="H31" s="4"/>
    </row>
    <row r="32" spans="1:8" ht="15.95" customHeight="1">
      <c r="A32" s="3">
        <v>28</v>
      </c>
      <c r="B32" s="17" t="str">
        <f>HYPERLINK("https://immunodeficiency.ca/","Immunodeficiency Canada")</f>
        <v>Immunodeficiency Canada</v>
      </c>
      <c r="C32" s="4" t="s">
        <v>15</v>
      </c>
      <c r="D32" s="4" t="s">
        <v>23</v>
      </c>
      <c r="E32" s="4" t="s">
        <v>23</v>
      </c>
      <c r="F32" s="17" t="s">
        <v>278</v>
      </c>
      <c r="G32" s="35">
        <v>2</v>
      </c>
      <c r="H32" s="4"/>
    </row>
    <row r="33" spans="1:8" ht="15.95" customHeight="1">
      <c r="A33" s="3">
        <v>29</v>
      </c>
      <c r="B33" s="17" t="str">
        <f>HYPERLINK("https://rarediseasefoundation.org/","Rare Disease Foundation")</f>
        <v>Rare Disease Foundation</v>
      </c>
      <c r="C33" s="4" t="s">
        <v>15</v>
      </c>
      <c r="D33" s="4" t="s">
        <v>23</v>
      </c>
      <c r="E33" s="4" t="s">
        <v>23</v>
      </c>
      <c r="F33" s="17" t="s">
        <v>328</v>
      </c>
      <c r="G33" s="35" t="s">
        <v>2031</v>
      </c>
      <c r="H33" s="4"/>
    </row>
    <row r="34" spans="1:8" ht="15.95" customHeight="1">
      <c r="A34" s="3">
        <v>30</v>
      </c>
      <c r="B34" s="17" t="str">
        <f>HYPERLINK("https://www.fecoer.org/","Colombian Federation of Rare Diseases")</f>
        <v>Colombian Federation of Rare Diseases</v>
      </c>
      <c r="C34" s="4" t="s">
        <v>15</v>
      </c>
      <c r="D34" s="4" t="s">
        <v>280</v>
      </c>
      <c r="E34" s="4" t="s">
        <v>280</v>
      </c>
      <c r="F34" s="17" t="s">
        <v>329</v>
      </c>
      <c r="G34" s="35" t="s">
        <v>2031</v>
      </c>
      <c r="H34" s="4"/>
    </row>
    <row r="35" spans="1:8" ht="15.95" customHeight="1">
      <c r="A35" s="3">
        <v>31</v>
      </c>
      <c r="B35" s="17" t="str">
        <f>HYPERLINK("https://enfermedadeshuerfanas.org.co/","Colombian Foundation for Orphan Diseases")</f>
        <v>Colombian Foundation for Orphan Diseases</v>
      </c>
      <c r="C35" s="4" t="s">
        <v>15</v>
      </c>
      <c r="D35" s="4" t="s">
        <v>280</v>
      </c>
      <c r="E35" s="4" t="s">
        <v>280</v>
      </c>
      <c r="F35" s="17" t="s">
        <v>330</v>
      </c>
      <c r="G35" s="35" t="s">
        <v>2031</v>
      </c>
      <c r="H35" s="4"/>
    </row>
    <row r="36" spans="1:8" ht="15.95" customHeight="1">
      <c r="A36" s="3">
        <v>32</v>
      </c>
      <c r="B36" s="17" t="str">
        <f>HYPERLINK("https://www.cronicare.org/","Cronicare Foundation")</f>
        <v>Cronicare Foundation</v>
      </c>
      <c r="C36" s="4" t="s">
        <v>15</v>
      </c>
      <c r="D36" s="4" t="s">
        <v>280</v>
      </c>
      <c r="E36" s="4" t="s">
        <v>280</v>
      </c>
      <c r="F36" s="17" t="s">
        <v>331</v>
      </c>
      <c r="G36" s="35" t="s">
        <v>2031</v>
      </c>
      <c r="H36" s="4"/>
    </row>
    <row r="37" spans="1:8" ht="15.95" customHeight="1">
      <c r="A37" s="3">
        <v>33</v>
      </c>
      <c r="B37" s="17" t="str">
        <f>HYPERLINK("http://www.fundacionfip.org.co/","Diana García de Olarte Foundation for Primary Immunodeficiencies")</f>
        <v>Diana García de Olarte Foundation for Primary Immunodeficiencies</v>
      </c>
      <c r="C37" s="4" t="s">
        <v>15</v>
      </c>
      <c r="D37" s="4" t="s">
        <v>280</v>
      </c>
      <c r="E37" s="4" t="s">
        <v>280</v>
      </c>
      <c r="F37" s="17" t="s">
        <v>281</v>
      </c>
      <c r="G37" s="35">
        <v>1</v>
      </c>
      <c r="H37" s="4"/>
    </row>
    <row r="38" spans="1:8" ht="15.95" customHeight="1">
      <c r="A38" s="3">
        <v>34</v>
      </c>
      <c r="B38" s="17" t="str">
        <f>HYPERLINK("http://www.fundaper.org/","Foundation of Solidarity Aid to Patients with Rare Diseases")</f>
        <v>Foundation of Solidarity Aid to Patients with Rare Diseases</v>
      </c>
      <c r="C38" s="4" t="s">
        <v>15</v>
      </c>
      <c r="D38" s="4" t="s">
        <v>280</v>
      </c>
      <c r="E38" s="4" t="s">
        <v>280</v>
      </c>
      <c r="F38" s="17" t="s">
        <v>332</v>
      </c>
      <c r="G38" s="35" t="s">
        <v>2031</v>
      </c>
      <c r="H38" s="4"/>
    </row>
    <row r="39" spans="1:8" ht="15.95" customHeight="1">
      <c r="A39" s="3">
        <v>35</v>
      </c>
      <c r="B39" s="17" t="str">
        <f>HYPERLINK("https://enhu.org.co/index.php/","Interinstitutional Observatory Corporation for Orphan Diseases (ENHU)")</f>
        <v>Interinstitutional Observatory Corporation for Orphan Diseases (ENHU)</v>
      </c>
      <c r="C39" s="4" t="s">
        <v>15</v>
      </c>
      <c r="D39" s="4" t="s">
        <v>280</v>
      </c>
      <c r="E39" s="4" t="s">
        <v>280</v>
      </c>
      <c r="F39" s="17" t="s">
        <v>333</v>
      </c>
      <c r="G39" s="35" t="s">
        <v>2031</v>
      </c>
      <c r="H39" s="4"/>
    </row>
    <row r="40" spans="1:8" ht="15.95" customHeight="1">
      <c r="A40" s="3">
        <v>36</v>
      </c>
      <c r="B40" s="17" t="str">
        <f>HYPERLINK("https://www.enhu.org.co/","Rare Diseases Interinstitutional Observatory (ENHU)")</f>
        <v>Rare Diseases Interinstitutional Observatory (ENHU)</v>
      </c>
      <c r="C40" s="4" t="s">
        <v>15</v>
      </c>
      <c r="D40" s="4" t="s">
        <v>280</v>
      </c>
      <c r="E40" s="4" t="s">
        <v>280</v>
      </c>
      <c r="F40" s="17" t="s">
        <v>334</v>
      </c>
      <c r="G40" s="35" t="s">
        <v>2031</v>
      </c>
      <c r="H40" s="4"/>
    </row>
    <row r="41" spans="1:8" ht="15.95" customHeight="1">
      <c r="A41" s="3">
        <v>37</v>
      </c>
      <c r="B41" s="17" t="str">
        <f>HYPERLINK("https://www.ewenlife.org/","EwenLife Rare Diseases")</f>
        <v>EwenLife Rare Diseases</v>
      </c>
      <c r="C41" s="4" t="s">
        <v>15</v>
      </c>
      <c r="D41" s="4" t="s">
        <v>88</v>
      </c>
      <c r="E41" s="4" t="s">
        <v>88</v>
      </c>
      <c r="F41" s="17" t="s">
        <v>1747</v>
      </c>
      <c r="G41" s="35" t="s">
        <v>2031</v>
      </c>
      <c r="H41" s="4"/>
    </row>
    <row r="42" spans="1:8" ht="15.95" customHeight="1">
      <c r="A42" s="3">
        <v>38</v>
      </c>
      <c r="B42" s="17" t="str">
        <f>HYPERLINK("https://associationiris.org/","IRIS Association")</f>
        <v>IRIS Association</v>
      </c>
      <c r="C42" s="4" t="s">
        <v>15</v>
      </c>
      <c r="D42" s="4" t="s">
        <v>88</v>
      </c>
      <c r="E42" s="4" t="s">
        <v>88</v>
      </c>
      <c r="F42" s="17" t="s">
        <v>282</v>
      </c>
      <c r="G42" s="35">
        <v>1</v>
      </c>
      <c r="H42" s="4"/>
    </row>
    <row r="43" spans="1:8" ht="15.95" customHeight="1">
      <c r="A43" s="3">
        <v>39</v>
      </c>
      <c r="B43" s="17" t="str">
        <f>HYPERLINK("https://alliance-maladies-rares.org/","Rare Diseases Alliance")</f>
        <v>Rare Diseases Alliance</v>
      </c>
      <c r="C43" s="4" t="s">
        <v>15</v>
      </c>
      <c r="D43" s="4" t="s">
        <v>88</v>
      </c>
      <c r="E43" s="4" t="s">
        <v>88</v>
      </c>
      <c r="F43" s="17" t="s">
        <v>336</v>
      </c>
      <c r="G43" s="35" t="s">
        <v>2031</v>
      </c>
      <c r="H43" s="4"/>
    </row>
    <row r="44" spans="1:8" ht="15.95" customHeight="1">
      <c r="A44" s="3">
        <v>40</v>
      </c>
      <c r="B44" s="17" t="str">
        <f>HYPERLINK("https://www.achse-online.de/de/","Alliance of Chronic Rare Diseases (ACHSE)")</f>
        <v>Alliance of Chronic Rare Diseases (ACHSE)</v>
      </c>
      <c r="C44" s="4" t="s">
        <v>15</v>
      </c>
      <c r="D44" s="4" t="s">
        <v>91</v>
      </c>
      <c r="E44" s="4" t="s">
        <v>91</v>
      </c>
      <c r="F44" s="17" t="s">
        <v>338</v>
      </c>
      <c r="G44" s="35" t="s">
        <v>2031</v>
      </c>
      <c r="H44" s="4"/>
    </row>
    <row r="45" spans="1:8" ht="15.95" customHeight="1">
      <c r="A45" s="3">
        <v>41</v>
      </c>
      <c r="B45" s="17" t="str">
        <f>HYPERLINK("https://www.dsai.de/","German Patient Organization for Primary Immune Deficiencies (DSAI)")</f>
        <v>German Patient Organization for Primary Immune Deficiencies (DSAI)</v>
      </c>
      <c r="C45" s="4" t="s">
        <v>15</v>
      </c>
      <c r="D45" s="4" t="s">
        <v>91</v>
      </c>
      <c r="E45" s="4" t="s">
        <v>91</v>
      </c>
      <c r="F45" s="17" t="s">
        <v>283</v>
      </c>
      <c r="G45" s="35">
        <v>1</v>
      </c>
      <c r="H45" s="4"/>
    </row>
    <row r="46" spans="1:8" ht="15.95" customHeight="1">
      <c r="A46" s="3">
        <v>42</v>
      </c>
      <c r="B46" s="17" t="str">
        <f>HYPERLINK("https://www.namse.de/","National Action Alliance for People with Rare Diseases (NAMSE)")</f>
        <v>National Action Alliance for People with Rare Diseases (NAMSE)</v>
      </c>
      <c r="C46" s="4" t="s">
        <v>15</v>
      </c>
      <c r="D46" s="4" t="s">
        <v>91</v>
      </c>
      <c r="E46" s="4" t="s">
        <v>91</v>
      </c>
      <c r="F46" s="17" t="s">
        <v>339</v>
      </c>
      <c r="G46" s="35" t="s">
        <v>2031</v>
      </c>
      <c r="H46" s="4"/>
    </row>
    <row r="47" spans="1:8" ht="15.95" customHeight="1">
      <c r="A47" s="3">
        <v>43</v>
      </c>
      <c r="B47" s="17" t="str">
        <f>HYPERLINK("https://www.aip-it.org/","Association of Primary Immunodeficiencies (AIPODV)")</f>
        <v>Association of Primary Immunodeficiencies (AIPODV)</v>
      </c>
      <c r="C47" s="4" t="s">
        <v>15</v>
      </c>
      <c r="D47" s="4" t="s">
        <v>16</v>
      </c>
      <c r="E47" s="4" t="s">
        <v>16</v>
      </c>
      <c r="F47" s="17" t="s">
        <v>284</v>
      </c>
      <c r="G47" s="35">
        <v>1</v>
      </c>
      <c r="H47" s="4"/>
    </row>
    <row r="48" spans="1:8" ht="15.95" customHeight="1">
      <c r="A48" s="3">
        <v>44</v>
      </c>
      <c r="B48" s="17" t="str">
        <f>HYPERLINK("https://www.osservatoriomalattierare.it/","OMAR Rare Diseases Observatory")</f>
        <v>OMAR Rare Diseases Observatory</v>
      </c>
      <c r="C48" s="4" t="s">
        <v>15</v>
      </c>
      <c r="D48" s="4" t="s">
        <v>16</v>
      </c>
      <c r="E48" s="4" t="s">
        <v>16</v>
      </c>
      <c r="F48" s="17" t="s">
        <v>340</v>
      </c>
      <c r="G48" s="35" t="s">
        <v>2031</v>
      </c>
      <c r="H48" s="4"/>
    </row>
    <row r="49" spans="1:8" ht="15.95" customHeight="1">
      <c r="A49" s="3">
        <v>45</v>
      </c>
      <c r="B49" s="17" t="str">
        <f>HYPERLINK("https://retemalattierare.it/","Rare Diseases Network")</f>
        <v>Rare Diseases Network</v>
      </c>
      <c r="C49" s="4" t="s">
        <v>15</v>
      </c>
      <c r="D49" s="4" t="s">
        <v>16</v>
      </c>
      <c r="E49" s="4" t="s">
        <v>16</v>
      </c>
      <c r="F49" s="17" t="s">
        <v>341</v>
      </c>
      <c r="G49" s="35" t="s">
        <v>2031</v>
      </c>
      <c r="H49" s="4"/>
    </row>
    <row r="50" spans="1:8" ht="15.95" customHeight="1">
      <c r="A50" s="3">
        <v>46</v>
      </c>
      <c r="B50" s="17" t="str">
        <f>HYPERLINK("https://www.uniamo.org/","UNIAMO (Federation of Associations of People with Rare Diseases of Italy)")</f>
        <v>UNIAMO (Federation of Associations of People with Rare Diseases of Italy)</v>
      </c>
      <c r="C50" s="4" t="s">
        <v>15</v>
      </c>
      <c r="D50" s="4" t="s">
        <v>16</v>
      </c>
      <c r="E50" s="4" t="s">
        <v>16</v>
      </c>
      <c r="F50" s="17" t="s">
        <v>342</v>
      </c>
      <c r="G50" s="35" t="s">
        <v>2031</v>
      </c>
      <c r="H50" s="4"/>
    </row>
    <row r="51" spans="1:8" ht="15.95" customHeight="1">
      <c r="A51" s="3">
        <v>47</v>
      </c>
      <c r="B51" s="17" t="str">
        <f>HYPERLINK("https://npo-pidtsubasa.org/","PID Tsubasa-no-Kai")</f>
        <v>PID Tsubasa-no-Kai</v>
      </c>
      <c r="C51" s="4" t="s">
        <v>15</v>
      </c>
      <c r="D51" s="4" t="s">
        <v>110</v>
      </c>
      <c r="E51" s="4" t="s">
        <v>110</v>
      </c>
      <c r="F51" s="17" t="s">
        <v>285</v>
      </c>
      <c r="G51" s="35">
        <v>1</v>
      </c>
      <c r="H51" s="4"/>
    </row>
    <row r="52" spans="1:8" ht="15.95" customHeight="1">
      <c r="A52" s="3">
        <v>48</v>
      </c>
      <c r="B52" s="17" t="str">
        <f>HYPERLINK("https://www.ncnp.go.jp/nin/guide/r_dna2/rdcj.html","Rare Disease Consortium Japan (RDC Japan)")</f>
        <v>Rare Disease Consortium Japan (RDC Japan)</v>
      </c>
      <c r="C52" s="4" t="s">
        <v>15</v>
      </c>
      <c r="D52" s="4" t="s">
        <v>110</v>
      </c>
      <c r="E52" s="4" t="s">
        <v>110</v>
      </c>
      <c r="F52" s="17" t="s">
        <v>343</v>
      </c>
      <c r="G52" s="35" t="s">
        <v>2031</v>
      </c>
      <c r="H52" s="4"/>
    </row>
    <row r="53" spans="1:8" ht="15.95" customHeight="1">
      <c r="A53" s="3">
        <v>49</v>
      </c>
      <c r="B53" s="17" t="str">
        <f>HYPERLINK("https://manaa.org.sa/","Society for the Prevention of Immunodeficiency")</f>
        <v>Society for the Prevention of Immunodeficiency</v>
      </c>
      <c r="C53" s="4" t="s">
        <v>15</v>
      </c>
      <c r="D53" s="4" t="s">
        <v>299</v>
      </c>
      <c r="E53" s="4" t="s">
        <v>299</v>
      </c>
      <c r="F53" s="17" t="s">
        <v>300</v>
      </c>
      <c r="G53" s="35">
        <v>2</v>
      </c>
      <c r="H53" s="4"/>
    </row>
    <row r="54" spans="1:8" ht="15.95" customHeight="1">
      <c r="A54" s="3">
        <v>50</v>
      </c>
      <c r="B54" s="17" t="str">
        <f>HYPERLINK("https://www.kord.or.kr/index.php","Korean Rare and Incurable Disease Association")</f>
        <v>Korean Rare and Incurable Disease Association</v>
      </c>
      <c r="C54" s="4" t="s">
        <v>15</v>
      </c>
      <c r="D54" s="4" t="s">
        <v>344</v>
      </c>
      <c r="E54" s="4" t="s">
        <v>344</v>
      </c>
      <c r="F54" s="17" t="s">
        <v>345</v>
      </c>
      <c r="G54" s="35" t="s">
        <v>2031</v>
      </c>
      <c r="H54" s="4"/>
    </row>
    <row r="55" spans="1:8" ht="15.95" customHeight="1">
      <c r="A55" s="3">
        <v>51</v>
      </c>
      <c r="B55" s="17" t="str">
        <f>HYPERLINK("https://www.dgenes.es/","D´Genes Rare Diseases Association")</f>
        <v>D´Genes Rare Diseases Association</v>
      </c>
      <c r="C55" s="4" t="s">
        <v>15</v>
      </c>
      <c r="D55" s="4" t="s">
        <v>107</v>
      </c>
      <c r="E55" s="4" t="s">
        <v>107</v>
      </c>
      <c r="F55" s="17" t="s">
        <v>347</v>
      </c>
      <c r="G55" s="35" t="s">
        <v>2031</v>
      </c>
      <c r="H55" s="4"/>
    </row>
    <row r="56" spans="1:8" ht="15.95" customHeight="1">
      <c r="A56" s="3">
        <v>52</v>
      </c>
      <c r="B56" s="17" t="str">
        <f>HYPERLINK("https://aedip.com/","Spanish Association of Primary Immune Deficiencies (AEDIP)")</f>
        <v>Spanish Association of Primary Immune Deficiencies (AEDIP)</v>
      </c>
      <c r="C56" s="4" t="s">
        <v>15</v>
      </c>
      <c r="D56" s="4" t="s">
        <v>107</v>
      </c>
      <c r="E56" s="4" t="s">
        <v>107</v>
      </c>
      <c r="F56" s="17" t="s">
        <v>286</v>
      </c>
      <c r="G56" s="35">
        <v>1</v>
      </c>
      <c r="H56" s="4"/>
    </row>
    <row r="57" spans="1:8" ht="15.95" customHeight="1">
      <c r="A57" s="3">
        <v>53</v>
      </c>
      <c r="B57" s="17" t="str">
        <f>HYPERLINK("https://enfermedades-raras.org/","Spanish Federation of Rare Diseases (FEDER)")</f>
        <v>Spanish Federation of Rare Diseases (FEDER)</v>
      </c>
      <c r="C57" s="4" t="s">
        <v>15</v>
      </c>
      <c r="D57" s="4" t="s">
        <v>107</v>
      </c>
      <c r="E57" s="4" t="s">
        <v>107</v>
      </c>
      <c r="F57" s="17" t="s">
        <v>348</v>
      </c>
      <c r="G57" s="35" t="s">
        <v>2031</v>
      </c>
      <c r="H57" s="4"/>
    </row>
    <row r="58" spans="1:8" ht="15.95" customHeight="1">
      <c r="A58" s="3">
        <v>54</v>
      </c>
      <c r="B58" s="17" t="str">
        <f>HYPERLINK("https://candanbiseyler.org/","Can Sucak Candan Bişeyler Foundation")</f>
        <v>Can Sucak Candan Bişeyler Foundation</v>
      </c>
      <c r="C58" s="4" t="s">
        <v>15</v>
      </c>
      <c r="D58" s="4" t="s">
        <v>2043</v>
      </c>
      <c r="E58" s="4" t="s">
        <v>2043</v>
      </c>
      <c r="F58" s="17" t="s">
        <v>287</v>
      </c>
      <c r="G58" s="35">
        <v>1</v>
      </c>
      <c r="H58" s="4"/>
    </row>
    <row r="59" spans="1:8" ht="15.95" customHeight="1">
      <c r="A59" s="3">
        <v>55</v>
      </c>
      <c r="B59" s="17" t="str">
        <f>HYPERLINK("https://www.nadirhastaliklaragi.org.tr/en/","The Federation of Rare Diseases")</f>
        <v>The Federation of Rare Diseases</v>
      </c>
      <c r="C59" s="4" t="s">
        <v>15</v>
      </c>
      <c r="D59" s="4" t="s">
        <v>2043</v>
      </c>
      <c r="E59" s="4" t="s">
        <v>2043</v>
      </c>
      <c r="F59" s="17" t="s">
        <v>349</v>
      </c>
      <c r="G59" s="35" t="s">
        <v>2031</v>
      </c>
      <c r="H59" s="4"/>
    </row>
    <row r="60" spans="1:8" ht="15.95" customHeight="1">
      <c r="A60" s="3">
        <v>56</v>
      </c>
      <c r="B60" s="17" t="str">
        <f>HYPERLINK("http://imyed.org/","Turkish Immunodeficiency Association (İMYED)")</f>
        <v>Turkish Immunodeficiency Association (İMYED)</v>
      </c>
      <c r="C60" s="4" t="s">
        <v>15</v>
      </c>
      <c r="D60" s="4" t="s">
        <v>2043</v>
      </c>
      <c r="E60" s="4" t="s">
        <v>2043</v>
      </c>
      <c r="F60" s="17" t="s">
        <v>301</v>
      </c>
      <c r="G60" s="35">
        <v>2</v>
      </c>
      <c r="H60" s="4"/>
    </row>
    <row r="61" spans="1:8" ht="15.95" customHeight="1">
      <c r="A61" s="3">
        <v>57</v>
      </c>
      <c r="B61" s="17" t="str">
        <f>HYPERLINK("https://www.rarebeacon.org/","Beacon for Rare Diseases")</f>
        <v>Beacon for Rare Diseases</v>
      </c>
      <c r="C61" s="4" t="s">
        <v>15</v>
      </c>
      <c r="D61" s="4" t="s">
        <v>17</v>
      </c>
      <c r="E61" s="4" t="s">
        <v>17</v>
      </c>
      <c r="F61" s="17" t="s">
        <v>350</v>
      </c>
      <c r="G61" s="35" t="s">
        <v>2031</v>
      </c>
      <c r="H61" s="4"/>
    </row>
    <row r="62" spans="1:8" ht="15.95" customHeight="1">
      <c r="A62" s="3">
        <v>58</v>
      </c>
      <c r="B62" s="17" t="str">
        <f>HYPERLINK("https://genepeople.org.uk/","Gene People")</f>
        <v>Gene People</v>
      </c>
      <c r="C62" s="4" t="s">
        <v>15</v>
      </c>
      <c r="D62" s="4" t="s">
        <v>17</v>
      </c>
      <c r="E62" s="4" t="s">
        <v>17</v>
      </c>
      <c r="F62" s="17" t="s">
        <v>1746</v>
      </c>
      <c r="G62" s="35" t="s">
        <v>2030</v>
      </c>
      <c r="H62" s="4"/>
    </row>
    <row r="63" spans="1:8" ht="15.95" customHeight="1">
      <c r="A63" s="3">
        <v>59</v>
      </c>
      <c r="B63" s="17" t="str">
        <f>HYPERLINK("https://geneticalliance.org.uk/","Genetic Alliance UK")</f>
        <v>Genetic Alliance UK</v>
      </c>
      <c r="C63" s="4" t="s">
        <v>15</v>
      </c>
      <c r="D63" s="4" t="s">
        <v>17</v>
      </c>
      <c r="E63" s="4" t="s">
        <v>17</v>
      </c>
      <c r="F63" s="17" t="s">
        <v>351</v>
      </c>
      <c r="G63" s="35" t="s">
        <v>2030</v>
      </c>
      <c r="H63" s="4"/>
    </row>
    <row r="64" spans="1:8" ht="15.95" customHeight="1">
      <c r="A64" s="3">
        <v>60</v>
      </c>
      <c r="B64" s="17" t="str">
        <f>HYPERLINK("https://www.immunodeficiencyuk.org/","Immunodeficiency UK")</f>
        <v>Immunodeficiency UK</v>
      </c>
      <c r="C64" s="4" t="s">
        <v>15</v>
      </c>
      <c r="D64" s="4" t="s">
        <v>17</v>
      </c>
      <c r="E64" s="4" t="s">
        <v>17</v>
      </c>
      <c r="F64" s="17" t="s">
        <v>288</v>
      </c>
      <c r="G64" s="35">
        <v>2</v>
      </c>
      <c r="H64" s="4"/>
    </row>
    <row r="65" spans="1:8" ht="15.95" customHeight="1">
      <c r="A65" s="3">
        <v>61</v>
      </c>
      <c r="B65" s="17" t="str">
        <f>HYPERLINK("https://nirdp.org.uk/","Northern Ireland Rare Disease Partnership")</f>
        <v>Northern Ireland Rare Disease Partnership</v>
      </c>
      <c r="C65" s="4" t="s">
        <v>15</v>
      </c>
      <c r="D65" s="4" t="s">
        <v>17</v>
      </c>
      <c r="E65" s="4" t="s">
        <v>138</v>
      </c>
      <c r="F65" s="17" t="s">
        <v>1748</v>
      </c>
      <c r="G65" s="35" t="s">
        <v>2031</v>
      </c>
      <c r="H65" s="4"/>
    </row>
    <row r="66" spans="1:8" ht="15.95" customHeight="1">
      <c r="A66" s="3">
        <v>62</v>
      </c>
      <c r="B66" s="17" t="str">
        <f>HYPERLINK("https://www.pia.org.uk/","Primary Immunodeficiency Association (PiA)")</f>
        <v>Primary Immunodeficiency Association (PiA)</v>
      </c>
      <c r="C66" s="4" t="s">
        <v>15</v>
      </c>
      <c r="D66" s="4" t="s">
        <v>17</v>
      </c>
      <c r="E66" s="4" t="s">
        <v>17</v>
      </c>
      <c r="F66" s="17" t="s">
        <v>289</v>
      </c>
      <c r="G66" s="35">
        <v>1</v>
      </c>
      <c r="H66" s="4"/>
    </row>
    <row r="67" spans="1:8" ht="15.95" customHeight="1">
      <c r="A67" s="3">
        <v>63</v>
      </c>
      <c r="B67" s="17" t="str">
        <f>HYPERLINK("https://www.raredisease.org.uk/","Rare Disease UK")</f>
        <v>Rare Disease UK</v>
      </c>
      <c r="C67" s="4" t="s">
        <v>15</v>
      </c>
      <c r="D67" s="4" t="s">
        <v>17</v>
      </c>
      <c r="E67" s="4" t="s">
        <v>17</v>
      </c>
      <c r="F67" s="17" t="s">
        <v>352</v>
      </c>
      <c r="G67" s="35" t="s">
        <v>2031</v>
      </c>
      <c r="H67" s="4"/>
    </row>
    <row r="68" spans="1:8" ht="15.95" customHeight="1">
      <c r="A68" s="3">
        <v>64</v>
      </c>
      <c r="B68" s="17" t="str">
        <f>HYPERLINK("https://www.bubblefoundation.org.uk/","The Bubble Foundation")</f>
        <v>The Bubble Foundation</v>
      </c>
      <c r="C68" s="4" t="s">
        <v>15</v>
      </c>
      <c r="D68" s="4" t="s">
        <v>17</v>
      </c>
      <c r="E68" s="4" t="s">
        <v>17</v>
      </c>
      <c r="F68" s="17" t="s">
        <v>302</v>
      </c>
      <c r="G68" s="35">
        <v>1</v>
      </c>
      <c r="H68" s="4"/>
    </row>
    <row r="69" spans="1:8" ht="15.95" customHeight="1">
      <c r="A69" s="3">
        <v>65</v>
      </c>
      <c r="B69" s="17" t="str">
        <f>HYPERLINK("https://ukpips.org.uk/","United Kingdom Primary Immune-deficiency Patient Support (UKPIPS)")</f>
        <v>United Kingdom Primary Immune-deficiency Patient Support (UKPIPS)</v>
      </c>
      <c r="C69" s="4" t="s">
        <v>15</v>
      </c>
      <c r="D69" s="4" t="s">
        <v>17</v>
      </c>
      <c r="E69" s="4" t="s">
        <v>17</v>
      </c>
      <c r="F69" s="17" t="s">
        <v>290</v>
      </c>
      <c r="G69" s="35">
        <v>1</v>
      </c>
      <c r="H69" s="4"/>
    </row>
    <row r="70" spans="1:8" ht="15.95" customHeight="1">
      <c r="A70" s="3">
        <v>66</v>
      </c>
      <c r="B70" s="17" t="str">
        <f>HYPERLINK("https://chromodisorder.org/","Chromosome Disorder Outreach, Inc.")</f>
        <v>Chromosome Disorder Outreach, Inc.</v>
      </c>
      <c r="C70" s="4" t="s">
        <v>15</v>
      </c>
      <c r="D70" s="4" t="s">
        <v>18</v>
      </c>
      <c r="E70" s="4" t="s">
        <v>18</v>
      </c>
      <c r="F70" s="17" t="s">
        <v>1743</v>
      </c>
      <c r="G70" s="35" t="s">
        <v>2031</v>
      </c>
      <c r="H70" s="4"/>
    </row>
    <row r="71" spans="1:8" ht="15.95" customHeight="1">
      <c r="A71" s="3">
        <v>67</v>
      </c>
      <c r="B71" s="17" t="str">
        <f>HYPERLINK("https://everylifefoundation.org/","EverLife Foundation for Rare Diseases")</f>
        <v>EverLife Foundation for Rare Diseases</v>
      </c>
      <c r="C71" s="4" t="s">
        <v>15</v>
      </c>
      <c r="D71" s="4" t="s">
        <v>18</v>
      </c>
      <c r="E71" s="4" t="s">
        <v>18</v>
      </c>
      <c r="F71" s="17" t="s">
        <v>353</v>
      </c>
      <c r="G71" s="35" t="s">
        <v>2031</v>
      </c>
      <c r="H71" s="4"/>
    </row>
    <row r="72" spans="1:8" ht="15.95" customHeight="1">
      <c r="A72" s="3">
        <v>68</v>
      </c>
      <c r="B72" s="17" t="str">
        <f>HYPERLINK("https://fpid.org/wp/","Foundation for Primary Immunodeficiency Diseases")</f>
        <v>Foundation for Primary Immunodeficiency Diseases</v>
      </c>
      <c r="C72" s="4" t="s">
        <v>15</v>
      </c>
      <c r="D72" s="4" t="s">
        <v>18</v>
      </c>
      <c r="E72" s="4" t="s">
        <v>18</v>
      </c>
      <c r="F72" s="17" t="s">
        <v>292</v>
      </c>
      <c r="G72" s="35">
        <v>1</v>
      </c>
      <c r="H72" s="4"/>
    </row>
    <row r="73" spans="1:8" ht="15.95" customHeight="1">
      <c r="A73" s="3">
        <v>69</v>
      </c>
      <c r="B73" s="17" t="str">
        <f>HYPERLINK("https://geneticalliance.org/","Genetic Alliance")</f>
        <v>Genetic Alliance</v>
      </c>
      <c r="C73" s="4" t="s">
        <v>15</v>
      </c>
      <c r="D73" s="4" t="s">
        <v>18</v>
      </c>
      <c r="E73" s="4" t="s">
        <v>18</v>
      </c>
      <c r="F73" s="17" t="s">
        <v>1749</v>
      </c>
      <c r="G73" s="35" t="s">
        <v>2030</v>
      </c>
      <c r="H73" s="4"/>
    </row>
    <row r="74" spans="1:8" ht="15.95" customHeight="1">
      <c r="A74" s="3">
        <v>70</v>
      </c>
      <c r="B74" s="17" t="str">
        <f>HYPERLINK("https://primaryimmune.org/","Immune Deficiency Foundation")</f>
        <v>Immune Deficiency Foundation</v>
      </c>
      <c r="C74" s="4" t="s">
        <v>15</v>
      </c>
      <c r="D74" s="4" t="s">
        <v>18</v>
      </c>
      <c r="E74" s="4" t="s">
        <v>18</v>
      </c>
      <c r="F74" s="17" t="s">
        <v>304</v>
      </c>
      <c r="G74" s="35">
        <v>2</v>
      </c>
      <c r="H74" s="4"/>
    </row>
    <row r="75" spans="1:8" ht="15.95" customHeight="1">
      <c r="A75" s="3">
        <v>71</v>
      </c>
      <c r="B75" s="17" t="str">
        <f>HYPERLINK("https://info4pi.org/","Jeffrey Modell Foundation")</f>
        <v>Jeffrey Modell Foundation</v>
      </c>
      <c r="C75" s="4" t="s">
        <v>15</v>
      </c>
      <c r="D75" s="4" t="s">
        <v>18</v>
      </c>
      <c r="E75" s="4" t="s">
        <v>18</v>
      </c>
      <c r="F75" s="17" t="s">
        <v>293</v>
      </c>
      <c r="G75" s="35">
        <v>1</v>
      </c>
      <c r="H75" s="4"/>
    </row>
    <row r="76" spans="1:8" ht="15.95" customHeight="1">
      <c r="A76" s="3">
        <v>72</v>
      </c>
      <c r="B76" s="17" t="str">
        <f>HYPERLINK("https://littlemisshannah.org/","Little Miss Hannah Foundation")</f>
        <v>Little Miss Hannah Foundation</v>
      </c>
      <c r="C76" s="4" t="s">
        <v>15</v>
      </c>
      <c r="D76" s="4" t="s">
        <v>18</v>
      </c>
      <c r="E76" s="4" t="s">
        <v>18</v>
      </c>
      <c r="F76" s="17" t="s">
        <v>354</v>
      </c>
      <c r="G76" s="35" t="s">
        <v>2031</v>
      </c>
      <c r="H76" s="4"/>
    </row>
    <row r="77" spans="1:8" ht="15.95" customHeight="1">
      <c r="A77" s="3">
        <v>73</v>
      </c>
      <c r="B77" s="17" t="str">
        <f>HYPERLINK("https://rarediseases.org/","National Organisation for Rare Disorders (NORD)")</f>
        <v>National Organisation for Rare Disorders (NORD)</v>
      </c>
      <c r="C77" s="4" t="s">
        <v>15</v>
      </c>
      <c r="D77" s="4" t="s">
        <v>18</v>
      </c>
      <c r="E77" s="4" t="s">
        <v>18</v>
      </c>
      <c r="F77" s="17" t="s">
        <v>356</v>
      </c>
      <c r="G77" s="35" t="s">
        <v>2031</v>
      </c>
      <c r="H77" s="4"/>
    </row>
    <row r="78" spans="1:8" ht="15.95" customHeight="1">
      <c r="A78" s="3">
        <v>74</v>
      </c>
      <c r="B78" s="17" t="str">
        <f>HYPERLINK("https://www.rarediseasediversity.org/","Rare Disease Diversity Coalition")</f>
        <v>Rare Disease Diversity Coalition</v>
      </c>
      <c r="C78" s="4" t="s">
        <v>15</v>
      </c>
      <c r="D78" s="4" t="s">
        <v>18</v>
      </c>
      <c r="E78" s="4" t="s">
        <v>18</v>
      </c>
      <c r="F78" s="17" t="s">
        <v>357</v>
      </c>
      <c r="G78" s="35" t="s">
        <v>2031</v>
      </c>
      <c r="H78" s="4"/>
    </row>
    <row r="79" spans="1:8" ht="15.95" customHeight="1">
      <c r="A79" s="3">
        <v>75</v>
      </c>
      <c r="B79" s="17" t="str">
        <f>HYPERLINK("http://www.rarekidsnetwork.org/","Rare Kids Network")</f>
        <v>Rare Kids Network</v>
      </c>
      <c r="C79" s="4" t="s">
        <v>15</v>
      </c>
      <c r="D79" s="4" t="s">
        <v>18</v>
      </c>
      <c r="E79" s="4" t="s">
        <v>18</v>
      </c>
      <c r="F79" s="17" t="s">
        <v>358</v>
      </c>
      <c r="G79" s="35" t="s">
        <v>2031</v>
      </c>
      <c r="H79" s="4"/>
    </row>
    <row r="80" spans="1:8" ht="15.95" customHeight="1">
      <c r="A80" s="3">
        <v>76</v>
      </c>
      <c r="B80" s="17" t="str">
        <f>HYPERLINK("https://www.scidangelsforlife.com/","SCID Angels For Life Foundation")</f>
        <v>SCID Angels For Life Foundation</v>
      </c>
      <c r="C80" s="4" t="s">
        <v>15</v>
      </c>
      <c r="D80" s="4" t="s">
        <v>18</v>
      </c>
      <c r="E80" s="4" t="s">
        <v>18</v>
      </c>
      <c r="F80" s="17" t="s">
        <v>270</v>
      </c>
      <c r="G80" s="35" t="s">
        <v>1681</v>
      </c>
      <c r="H80" s="4"/>
    </row>
    <row r="81" spans="1:8" ht="15.95" customHeight="1">
      <c r="A81" s="3">
        <v>77</v>
      </c>
      <c r="B81" s="17" t="str">
        <f>HYPERLINK("https://thegenesisfoundation.org/","The Genesis Foundation For Children")</f>
        <v>The Genesis Foundation For Children</v>
      </c>
      <c r="C81" s="4" t="s">
        <v>15</v>
      </c>
      <c r="D81" s="4" t="s">
        <v>18</v>
      </c>
      <c r="E81" s="4" t="s">
        <v>18</v>
      </c>
      <c r="F81" s="17" t="s">
        <v>1744</v>
      </c>
      <c r="G81" s="35" t="s">
        <v>2031</v>
      </c>
      <c r="H81" s="4"/>
    </row>
    <row r="82" spans="1:8" ht="15.95" customHeight="1">
      <c r="A82" s="3">
        <v>78</v>
      </c>
      <c r="B82" s="17" t="str">
        <f>HYPERLINK("https://thinkofmeplease.org/","Think of me Please")</f>
        <v>Think of me Please</v>
      </c>
      <c r="C82" s="4" t="s">
        <v>15</v>
      </c>
      <c r="D82" s="4" t="s">
        <v>18</v>
      </c>
      <c r="E82" s="4" t="s">
        <v>18</v>
      </c>
      <c r="F82" s="17" t="s">
        <v>294</v>
      </c>
      <c r="G82" s="35">
        <v>2</v>
      </c>
      <c r="H82" s="4"/>
    </row>
    <row r="83" spans="1:8" ht="15.95" customHeight="1">
      <c r="A83" s="3">
        <v>79</v>
      </c>
      <c r="B83" s="17" t="str">
        <f>HYPERLINK("https://rarechromo.org/","UNIQUE - Rare Chromosome Disorder Support Group")</f>
        <v>UNIQUE - Rare Chromosome Disorder Support Group</v>
      </c>
      <c r="C83" s="4" t="s">
        <v>15</v>
      </c>
      <c r="D83" s="4" t="s">
        <v>18</v>
      </c>
      <c r="E83" s="4" t="s">
        <v>18</v>
      </c>
      <c r="F83" s="17" t="s">
        <v>1745</v>
      </c>
      <c r="G83" s="35" t="s">
        <v>2031</v>
      </c>
      <c r="H83" s="4"/>
    </row>
  </sheetData>
  <autoFilter ref="A4:H83"/>
  <sortState ref="A5:H85">
    <sortCondition ref="C5:C85" customList="International,Regional,National"/>
    <sortCondition ref="D5:D85"/>
    <sortCondition ref="B5:B85"/>
  </sortState>
  <mergeCells count="2">
    <mergeCell ref="A1:H1"/>
    <mergeCell ref="A2:H3"/>
  </mergeCells>
  <hyperlinks>
    <hyperlink ref="F80" r:id="rId1"/>
    <hyperlink ref="F7" r:id="rId2"/>
    <hyperlink ref="F20" r:id="rId3"/>
    <hyperlink ref="F17" r:id="rId4"/>
    <hyperlink ref="F28" r:id="rId5"/>
    <hyperlink ref="F32" r:id="rId6"/>
    <hyperlink ref="F31" r:id="rId7"/>
    <hyperlink ref="F37" r:id="rId8"/>
    <hyperlink ref="F42" r:id="rId9"/>
    <hyperlink ref="F45" r:id="rId10"/>
    <hyperlink ref="F47" r:id="rId11"/>
    <hyperlink ref="F51" r:id="rId12"/>
    <hyperlink ref="F56" r:id="rId13"/>
    <hyperlink ref="F58" r:id="rId14"/>
    <hyperlink ref="F64" r:id="rId15"/>
    <hyperlink ref="F66" r:id="rId16"/>
    <hyperlink ref="F69" r:id="rId17"/>
    <hyperlink ref="F72" r:id="rId18"/>
    <hyperlink ref="F75" r:id="rId19"/>
    <hyperlink ref="F82" r:id="rId20"/>
    <hyperlink ref="F13" r:id="rId21"/>
    <hyperlink ref="F22" r:id="rId22"/>
    <hyperlink ref="F53" r:id="rId23"/>
    <hyperlink ref="F60" r:id="rId24"/>
    <hyperlink ref="F68" r:id="rId25"/>
    <hyperlink ref="F74" r:id="rId26"/>
    <hyperlink ref="F12" r:id="rId27"/>
    <hyperlink ref="F27" r:id="rId28"/>
    <hyperlink ref="F10" r:id="rId29"/>
    <hyperlink ref="F5" r:id="rId30"/>
    <hyperlink ref="F6" r:id="rId31"/>
    <hyperlink ref="F14" r:id="rId32"/>
    <hyperlink ref="F8" r:id="rId33"/>
    <hyperlink ref="F9" r:id="rId34"/>
    <hyperlink ref="F18" r:id="rId35"/>
    <hyperlink ref="F19" r:id="rId36"/>
    <hyperlink ref="F21" r:id="rId37"/>
    <hyperlink ref="F23" r:id="rId38"/>
    <hyperlink ref="F24" r:id="rId39"/>
    <hyperlink ref="F25" r:id="rId40"/>
    <hyperlink ref="F26" r:id="rId41"/>
    <hyperlink ref="F29" r:id="rId42"/>
    <hyperlink ref="F33" r:id="rId43"/>
    <hyperlink ref="F34" r:id="rId44"/>
    <hyperlink ref="F35" r:id="rId45"/>
    <hyperlink ref="F36" r:id="rId46"/>
    <hyperlink ref="F38" r:id="rId47"/>
    <hyperlink ref="F39" r:id="rId48"/>
    <hyperlink ref="F40" r:id="rId49"/>
    <hyperlink ref="F43" r:id="rId50"/>
    <hyperlink ref="F44" r:id="rId51"/>
    <hyperlink ref="F46" r:id="rId52"/>
    <hyperlink ref="F48" r:id="rId53"/>
    <hyperlink ref="F49" r:id="rId54"/>
    <hyperlink ref="F50" r:id="rId55"/>
    <hyperlink ref="F52" r:id="rId56"/>
    <hyperlink ref="F54" r:id="rId57"/>
    <hyperlink ref="F55" r:id="rId58"/>
    <hyperlink ref="F57" r:id="rId59"/>
    <hyperlink ref="F59" r:id="rId60"/>
    <hyperlink ref="F61" r:id="rId61"/>
    <hyperlink ref="F63" r:id="rId62"/>
    <hyperlink ref="F67" r:id="rId63"/>
    <hyperlink ref="F71" r:id="rId64"/>
    <hyperlink ref="F76" r:id="rId65"/>
    <hyperlink ref="F77" r:id="rId66"/>
    <hyperlink ref="F78" r:id="rId67"/>
    <hyperlink ref="F79" r:id="rId68"/>
    <hyperlink ref="F11" r:id="rId69"/>
    <hyperlink ref="F15" r:id="rId70"/>
    <hyperlink ref="F16" r:id="rId71"/>
    <hyperlink ref="F70" r:id="rId72"/>
    <hyperlink ref="F81" r:id="rId73"/>
    <hyperlink ref="F83" r:id="rId74"/>
    <hyperlink ref="F62" r:id="rId75"/>
    <hyperlink ref="F41" r:id="rId76"/>
    <hyperlink ref="F65" r:id="rId77"/>
    <hyperlink ref="F73" r:id="rId78"/>
    <hyperlink ref="F30" r:id="rId79"/>
  </hyperlinks>
  <pageMargins left="0.7" right="0.7" top="0.75" bottom="0.75" header="0" footer="0"/>
  <pageSetup orientation="landscape" r:id="rId8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sheetPr>
  <dimension ref="A1:H143"/>
  <sheetViews>
    <sheetView showGridLines="0" workbookViewId="0">
      <pane xSplit="2" ySplit="4" topLeftCell="C5" activePane="bottomRight" state="frozen"/>
      <selection pane="topRight"/>
      <selection pane="bottomLeft"/>
      <selection pane="bottomRight" activeCell="C5" sqref="C5"/>
    </sheetView>
  </sheetViews>
  <sheetFormatPr defaultColWidth="9" defaultRowHeight="15" customHeight="1"/>
  <cols>
    <col min="1" max="1" width="6.140625" customWidth="1"/>
    <col min="2" max="2" width="70.85546875" customWidth="1"/>
    <col min="3" max="4" width="15.85546875" customWidth="1"/>
    <col min="5" max="5" width="21.140625" customWidth="1"/>
    <col min="6" max="6" width="27" customWidth="1"/>
    <col min="7" max="7" width="16.5703125" customWidth="1"/>
    <col min="8" max="8" width="45.85546875" customWidth="1"/>
  </cols>
  <sheetData>
    <row r="1" spans="1:8" ht="24.75" customHeight="1">
      <c r="A1" s="76" t="s">
        <v>0</v>
      </c>
      <c r="B1" s="76"/>
      <c r="C1" s="76"/>
      <c r="D1" s="76"/>
      <c r="E1" s="76"/>
      <c r="F1" s="76"/>
      <c r="G1" s="76"/>
      <c r="H1" s="76"/>
    </row>
    <row r="2" spans="1:8" ht="15" customHeight="1">
      <c r="A2" s="71" t="s">
        <v>1</v>
      </c>
      <c r="B2" s="71"/>
      <c r="C2" s="71"/>
      <c r="D2" s="71"/>
      <c r="E2" s="71"/>
      <c r="F2" s="71"/>
      <c r="G2" s="71"/>
      <c r="H2" s="71"/>
    </row>
    <row r="3" spans="1:8" ht="15" customHeight="1">
      <c r="A3" s="71"/>
      <c r="B3" s="71"/>
      <c r="C3" s="71"/>
      <c r="D3" s="71"/>
      <c r="E3" s="71"/>
      <c r="F3" s="71"/>
      <c r="G3" s="71"/>
      <c r="H3" s="71"/>
    </row>
    <row r="4" spans="1:8" ht="28.5" customHeight="1">
      <c r="A4" s="7" t="s">
        <v>2</v>
      </c>
      <c r="B4" s="11" t="s">
        <v>2157</v>
      </c>
      <c r="C4" s="7" t="s">
        <v>12</v>
      </c>
      <c r="D4" s="7" t="s">
        <v>13</v>
      </c>
      <c r="E4" s="11" t="s">
        <v>22</v>
      </c>
      <c r="F4" s="7" t="s">
        <v>5</v>
      </c>
      <c r="G4" s="11" t="s">
        <v>1572</v>
      </c>
      <c r="H4" s="11" t="s">
        <v>6</v>
      </c>
    </row>
    <row r="5" spans="1:8" ht="15.95" customHeight="1">
      <c r="A5" s="3">
        <v>1</v>
      </c>
      <c r="B5" s="17" t="str">
        <f>HYPERLINK("https://www.focisnet.org/","Federation of Clinical Immunology Societies")</f>
        <v>Federation of Clinical Immunology Societies</v>
      </c>
      <c r="C5" s="4" t="s">
        <v>14</v>
      </c>
      <c r="D5" s="4" t="s">
        <v>14</v>
      </c>
      <c r="E5" s="4" t="s">
        <v>18</v>
      </c>
      <c r="F5" s="17" t="s">
        <v>385</v>
      </c>
      <c r="G5" s="35">
        <v>3</v>
      </c>
      <c r="H5" s="4"/>
    </row>
    <row r="6" spans="1:8" ht="15.95" customHeight="1">
      <c r="A6" s="3">
        <v>2</v>
      </c>
      <c r="B6" s="17" t="str">
        <f>HYPERLINK("https://www.ga4gh.org/","Global Alliance for Genomics and Health")</f>
        <v>Global Alliance for Genomics and Health</v>
      </c>
      <c r="C6" s="4" t="s">
        <v>14</v>
      </c>
      <c r="D6" s="4" t="s">
        <v>14</v>
      </c>
      <c r="E6" s="4" t="s">
        <v>23</v>
      </c>
      <c r="F6" s="17" t="s">
        <v>1845</v>
      </c>
      <c r="G6" s="35" t="s">
        <v>2030</v>
      </c>
      <c r="H6" s="4"/>
    </row>
    <row r="7" spans="1:8" ht="15.95" customHeight="1">
      <c r="A7" s="3">
        <v>3</v>
      </c>
      <c r="B7" s="17" t="str">
        <f>HYPERLINK("https://ihf-fih.org/what-we-do/global-rare-paediatric-disease-network/","Global Rare Paediatric Disease Network")</f>
        <v>Global Rare Paediatric Disease Network</v>
      </c>
      <c r="C7" s="4" t="s">
        <v>14</v>
      </c>
      <c r="D7" s="4" t="s">
        <v>14</v>
      </c>
      <c r="E7" s="4" t="s">
        <v>25</v>
      </c>
      <c r="F7" s="17" t="s">
        <v>479</v>
      </c>
      <c r="G7" s="35" t="s">
        <v>2031</v>
      </c>
      <c r="H7" s="4"/>
    </row>
    <row r="8" spans="1:8" ht="15.95" customHeight="1">
      <c r="A8" s="3">
        <v>4</v>
      </c>
      <c r="B8" s="17" t="str">
        <f>HYPERLINK("https://www.hugo-international.org/","Human Genome Organization")</f>
        <v>Human Genome Organization</v>
      </c>
      <c r="C8" s="4" t="s">
        <v>14</v>
      </c>
      <c r="D8" s="4" t="s">
        <v>14</v>
      </c>
      <c r="E8" s="4" t="s">
        <v>18</v>
      </c>
      <c r="F8" s="17" t="s">
        <v>1831</v>
      </c>
      <c r="G8" s="35" t="s">
        <v>2030</v>
      </c>
      <c r="H8" s="4"/>
    </row>
    <row r="9" spans="1:8" ht="15.95" customHeight="1">
      <c r="A9" s="3">
        <v>5</v>
      </c>
      <c r="B9" s="17" t="str">
        <f>HYPERLINK("https://www.hgvs.org/","Human Genome Variation Society")</f>
        <v>Human Genome Variation Society</v>
      </c>
      <c r="C9" s="4" t="s">
        <v>14</v>
      </c>
      <c r="D9" s="4" t="s">
        <v>14</v>
      </c>
      <c r="E9" s="4" t="s">
        <v>162</v>
      </c>
      <c r="F9" s="17" t="s">
        <v>1843</v>
      </c>
      <c r="G9" s="35" t="s">
        <v>2030</v>
      </c>
      <c r="H9" s="4"/>
    </row>
    <row r="10" spans="1:8" ht="15.95" customHeight="1">
      <c r="A10" s="3">
        <v>6</v>
      </c>
      <c r="B10" s="17" t="str">
        <f>HYPERLINK("https://www.icgeb.org/","International Centre for Genetic Engineering and Biotechnology")</f>
        <v>International Centre for Genetic Engineering and Biotechnology</v>
      </c>
      <c r="C10" s="4" t="s">
        <v>14</v>
      </c>
      <c r="D10" s="4" t="s">
        <v>14</v>
      </c>
      <c r="E10" s="4" t="s">
        <v>16</v>
      </c>
      <c r="F10" s="17" t="s">
        <v>1819</v>
      </c>
      <c r="G10" s="35" t="s">
        <v>2030</v>
      </c>
      <c r="H10" s="4"/>
    </row>
    <row r="11" spans="1:8" ht="15.95" customHeight="1">
      <c r="A11" s="3">
        <v>7</v>
      </c>
      <c r="B11" s="17" t="str">
        <f>HYPERLINK("http://www.icord.es/","International Collaboration on Rare Diseases and Orphan Drugs")</f>
        <v>International Collaboration on Rare Diseases and Orphan Drugs</v>
      </c>
      <c r="C11" s="4" t="s">
        <v>14</v>
      </c>
      <c r="D11" s="4" t="s">
        <v>14</v>
      </c>
      <c r="E11" s="4" t="s">
        <v>107</v>
      </c>
      <c r="F11" s="17" t="s">
        <v>481</v>
      </c>
      <c r="G11" s="35" t="s">
        <v>2031</v>
      </c>
      <c r="H11" s="4"/>
    </row>
    <row r="12" spans="1:8" ht="15.95" customHeight="1">
      <c r="A12" s="3">
        <v>8</v>
      </c>
      <c r="B12" s="17" t="str">
        <f>HYPERLINK("http://www.ifhgs.org/","International Federation of Human Genetics Societies")</f>
        <v>International Federation of Human Genetics Societies</v>
      </c>
      <c r="C12" s="4" t="s">
        <v>14</v>
      </c>
      <c r="D12" s="4" t="s">
        <v>14</v>
      </c>
      <c r="E12" s="4" t="s">
        <v>1763</v>
      </c>
      <c r="F12" s="17" t="s">
        <v>1837</v>
      </c>
      <c r="G12" s="35" t="s">
        <v>2030</v>
      </c>
      <c r="H12" s="4"/>
    </row>
    <row r="13" spans="1:8" ht="15.95" customHeight="1">
      <c r="A13" s="3">
        <v>9</v>
      </c>
      <c r="B13" s="17" t="str">
        <f>HYPERLINK("https://ingid.org/","International Nursing Group for Immunodeficiencies")</f>
        <v>International Nursing Group for Immunodeficiencies</v>
      </c>
      <c r="C13" s="4" t="s">
        <v>14</v>
      </c>
      <c r="D13" s="4" t="s">
        <v>14</v>
      </c>
      <c r="E13" s="4" t="s">
        <v>17</v>
      </c>
      <c r="F13" s="17" t="s">
        <v>369</v>
      </c>
      <c r="G13" s="35">
        <v>2</v>
      </c>
      <c r="H13" s="4"/>
    </row>
    <row r="14" spans="1:8" ht="15.95" customHeight="1">
      <c r="A14" s="3">
        <v>10</v>
      </c>
      <c r="B14" s="17" t="str">
        <f>HYPERLINK("https://irdirc.org/","International Rare Diseases Research Consortium (IRDiRC)")</f>
        <v>International Rare Diseases Research Consortium (IRDiRC)</v>
      </c>
      <c r="C14" s="4" t="s">
        <v>14</v>
      </c>
      <c r="D14" s="4" t="s">
        <v>14</v>
      </c>
      <c r="E14" s="4" t="s">
        <v>88</v>
      </c>
      <c r="F14" s="17" t="s">
        <v>482</v>
      </c>
      <c r="G14" s="35" t="s">
        <v>2031</v>
      </c>
      <c r="H14" s="4"/>
    </row>
    <row r="15" spans="1:8" ht="15.95" customHeight="1">
      <c r="A15" s="3">
        <v>11</v>
      </c>
      <c r="B15" s="17" t="str">
        <f>HYPERLINK("https://www.isong.org/","International Society of Nurses in Genetics")</f>
        <v>International Society of Nurses in Genetics</v>
      </c>
      <c r="C15" s="4" t="s">
        <v>14</v>
      </c>
      <c r="D15" s="4" t="s">
        <v>14</v>
      </c>
      <c r="E15" s="4" t="s">
        <v>18</v>
      </c>
      <c r="F15" s="17" t="s">
        <v>1816</v>
      </c>
      <c r="G15" s="35" t="s">
        <v>2030</v>
      </c>
      <c r="H15" s="4"/>
    </row>
    <row r="16" spans="1:8" ht="15.95" customHeight="1">
      <c r="A16" s="3">
        <v>12</v>
      </c>
      <c r="B16" s="17" t="str">
        <f>HYPERLINK("https://iuis.org/","International Union of Immunological Societies")</f>
        <v>International Union of Immunological Societies</v>
      </c>
      <c r="C16" s="4" t="s">
        <v>14</v>
      </c>
      <c r="D16" s="4" t="s">
        <v>14</v>
      </c>
      <c r="E16" s="4" t="s">
        <v>91</v>
      </c>
      <c r="F16" s="17" t="s">
        <v>387</v>
      </c>
      <c r="G16" s="35">
        <v>3</v>
      </c>
      <c r="H16" s="4"/>
    </row>
    <row r="17" spans="1:8" ht="15.95" customHeight="1">
      <c r="A17" s="3">
        <v>13</v>
      </c>
      <c r="B17" s="17" t="str">
        <f>HYPERLINK("https://www.theiapids.org/","The International Alliance for Primary Immunodeficiency Societies (IAPIDS)")</f>
        <v>The International Alliance for Primary Immunodeficiency Societies (IAPIDS)</v>
      </c>
      <c r="C17" s="4" t="s">
        <v>14</v>
      </c>
      <c r="D17" s="4" t="s">
        <v>14</v>
      </c>
      <c r="E17" s="4" t="s">
        <v>18</v>
      </c>
      <c r="F17" s="17" t="s">
        <v>365</v>
      </c>
      <c r="G17" s="35">
        <v>1</v>
      </c>
      <c r="H17" s="4"/>
    </row>
    <row r="18" spans="1:8" ht="15.95" customHeight="1">
      <c r="A18" s="3">
        <v>14</v>
      </c>
      <c r="B18" s="17" t="str">
        <f>HYPERLINK("https://www.worldallergy.org/","World Allergy Organization")</f>
        <v>World Allergy Organization</v>
      </c>
      <c r="C18" s="4" t="s">
        <v>14</v>
      </c>
      <c r="D18" s="4" t="s">
        <v>14</v>
      </c>
      <c r="E18" s="4" t="s">
        <v>18</v>
      </c>
      <c r="F18" s="17" t="s">
        <v>478</v>
      </c>
      <c r="G18" s="35">
        <v>3</v>
      </c>
      <c r="H18" s="4"/>
    </row>
    <row r="19" spans="1:8" ht="15.95" customHeight="1">
      <c r="A19" s="3">
        <v>15</v>
      </c>
      <c r="B19" s="17" t="str">
        <f>HYPERLINK("http://www.waidid.org/site/index","World Association for Infectious Diseases and Immunological Disorders (WAidid)")</f>
        <v>World Association for Infectious Diseases and Immunological Disorders (WAidid)</v>
      </c>
      <c r="C19" s="4" t="s">
        <v>14</v>
      </c>
      <c r="D19" s="4" t="s">
        <v>14</v>
      </c>
      <c r="E19" s="4" t="s">
        <v>16</v>
      </c>
      <c r="F19" s="17" t="s">
        <v>371</v>
      </c>
      <c r="G19" s="35">
        <v>3</v>
      </c>
      <c r="H19" s="4"/>
    </row>
    <row r="20" spans="1:8" ht="15.95" customHeight="1">
      <c r="A20" s="3">
        <v>16</v>
      </c>
      <c r="B20" s="17" t="str">
        <f>HYPERLINK("https://psgca.org/","Professional Society of Genetic Counselors in Asia")</f>
        <v>Professional Society of Genetic Counselors in Asia</v>
      </c>
      <c r="C20" s="4" t="s">
        <v>114</v>
      </c>
      <c r="D20" s="4" t="s">
        <v>160</v>
      </c>
      <c r="E20" s="4" t="s">
        <v>308</v>
      </c>
      <c r="F20" s="17" t="s">
        <v>1835</v>
      </c>
      <c r="G20" s="35" t="s">
        <v>2030</v>
      </c>
      <c r="H20" s="4"/>
    </row>
    <row r="21" spans="1:8" ht="15.95" customHeight="1">
      <c r="A21" s="3">
        <v>17</v>
      </c>
      <c r="B21" s="17" t="str">
        <f>HYPERLINK("https://www.apaaaci.org/","Asia Pacific Association of Allergy, Asthma and Clinical Immunology")</f>
        <v>Asia Pacific Association of Allergy, Asthma and Clinical Immunology</v>
      </c>
      <c r="C21" s="4" t="s">
        <v>114</v>
      </c>
      <c r="D21" s="4" t="s">
        <v>380</v>
      </c>
      <c r="E21" s="4" t="s">
        <v>471</v>
      </c>
      <c r="F21" s="17" t="s">
        <v>472</v>
      </c>
      <c r="G21" s="35">
        <v>3</v>
      </c>
      <c r="H21" s="4"/>
    </row>
    <row r="22" spans="1:8" ht="15.95" customHeight="1">
      <c r="A22" s="3">
        <v>18</v>
      </c>
      <c r="B22" s="17" t="str">
        <f>HYPERLINK("https://paed.hku.hk/apsid/home.html","Asia Pacific Society for Immunodeficiencies (APSID)")</f>
        <v>Asia Pacific Society for Immunodeficiencies (APSID)</v>
      </c>
      <c r="C22" s="4" t="s">
        <v>114</v>
      </c>
      <c r="D22" s="4" t="s">
        <v>380</v>
      </c>
      <c r="E22" s="4" t="s">
        <v>111</v>
      </c>
      <c r="F22" s="17" t="s">
        <v>2032</v>
      </c>
      <c r="G22" s="35">
        <v>2</v>
      </c>
      <c r="H22" s="4"/>
    </row>
    <row r="23" spans="1:8" ht="15.95" customHeight="1">
      <c r="A23" s="3">
        <v>19</v>
      </c>
      <c r="B23" s="17" t="str">
        <f>HYPERLINK("https://www.apshg.info/","Asia Pacific Society of Human Genetics")</f>
        <v>Asia Pacific Society of Human Genetics</v>
      </c>
      <c r="C23" s="4" t="s">
        <v>114</v>
      </c>
      <c r="D23" s="4" t="s">
        <v>380</v>
      </c>
      <c r="E23" s="4" t="s">
        <v>308</v>
      </c>
      <c r="F23" s="17" t="s">
        <v>1834</v>
      </c>
      <c r="G23" s="35" t="s">
        <v>2030</v>
      </c>
      <c r="H23" s="4"/>
    </row>
    <row r="24" spans="1:8" ht="15.95" customHeight="1">
      <c r="A24" s="3">
        <v>20</v>
      </c>
      <c r="B24" s="17" t="str">
        <f>HYPERLINK("https://www.aphia.org.au/","Asia-Pacific Histocompatibility and Immunogenetics Association")</f>
        <v>Asia-Pacific Histocompatibility and Immunogenetics Association</v>
      </c>
      <c r="C24" s="4" t="s">
        <v>114</v>
      </c>
      <c r="D24" s="4" t="s">
        <v>380</v>
      </c>
      <c r="E24" s="4" t="s">
        <v>162</v>
      </c>
      <c r="F24" s="17" t="s">
        <v>425</v>
      </c>
      <c r="G24" s="35">
        <v>3</v>
      </c>
      <c r="H24" s="4"/>
    </row>
    <row r="25" spans="1:8" ht="15.95" customHeight="1">
      <c r="A25" s="3">
        <v>21</v>
      </c>
      <c r="B25" s="17" t="str">
        <f>HYPERLINK("https://www.eauhgs.jp/","East Asian Union of Human Genetics Societies")</f>
        <v>East Asian Union of Human Genetics Societies</v>
      </c>
      <c r="C25" s="4" t="s">
        <v>114</v>
      </c>
      <c r="D25" s="4" t="s">
        <v>1838</v>
      </c>
      <c r="E25" s="4"/>
      <c r="F25" s="17" t="s">
        <v>1839</v>
      </c>
      <c r="G25" s="35" t="s">
        <v>2030</v>
      </c>
      <c r="H25" s="4"/>
    </row>
    <row r="26" spans="1:8" ht="15.95" customHeight="1">
      <c r="A26" s="3">
        <v>22</v>
      </c>
      <c r="B26" s="17" t="str">
        <f>HYPERLINK("https://eaaci.org/","European Academy of Allergy and Clinical Immunology")</f>
        <v>European Academy of Allergy and Clinical Immunology</v>
      </c>
      <c r="C26" s="4" t="s">
        <v>114</v>
      </c>
      <c r="D26" s="4" t="s">
        <v>115</v>
      </c>
      <c r="E26" s="4" t="s">
        <v>25</v>
      </c>
      <c r="F26" s="17" t="s">
        <v>474</v>
      </c>
      <c r="G26" s="35">
        <v>3</v>
      </c>
      <c r="H26" s="4"/>
    </row>
    <row r="27" spans="1:8" ht="15.95" customHeight="1">
      <c r="A27" s="3">
        <v>23</v>
      </c>
      <c r="B27" s="17" t="str">
        <f>HYPERLINK("https://www.e-c-a.eu/en/","European Cytogeneticists Association")</f>
        <v>European Cytogeneticists Association</v>
      </c>
      <c r="C27" s="4" t="s">
        <v>114</v>
      </c>
      <c r="D27" s="4" t="s">
        <v>115</v>
      </c>
      <c r="E27" s="4" t="s">
        <v>88</v>
      </c>
      <c r="F27" s="17" t="s">
        <v>1841</v>
      </c>
      <c r="G27" s="35" t="s">
        <v>2030</v>
      </c>
      <c r="H27" s="4"/>
    </row>
    <row r="28" spans="1:8" ht="15.95" customHeight="1">
      <c r="A28" s="3">
        <v>24</v>
      </c>
      <c r="B28" s="17" t="str">
        <f>HYPERLINK("https://efi-web.org/","European Federation for Immunogenetics")</f>
        <v>European Federation for Immunogenetics</v>
      </c>
      <c r="C28" s="4" t="s">
        <v>114</v>
      </c>
      <c r="D28" s="4" t="s">
        <v>115</v>
      </c>
      <c r="E28" s="4" t="s">
        <v>116</v>
      </c>
      <c r="F28" s="17" t="s">
        <v>427</v>
      </c>
      <c r="G28" s="35">
        <v>3</v>
      </c>
      <c r="H28" s="4"/>
    </row>
    <row r="29" spans="1:8" ht="15.95" customHeight="1">
      <c r="A29" s="3">
        <v>25</v>
      </c>
      <c r="B29" s="17" t="str">
        <f>HYPERLINK("https://www.efis.org/","European Federation of Immunological Societies")</f>
        <v>European Federation of Immunological Societies</v>
      </c>
      <c r="C29" s="4" t="s">
        <v>114</v>
      </c>
      <c r="D29" s="4" t="s">
        <v>115</v>
      </c>
      <c r="E29" s="4" t="s">
        <v>91</v>
      </c>
      <c r="F29" s="17" t="s">
        <v>429</v>
      </c>
      <c r="G29" s="35">
        <v>3</v>
      </c>
      <c r="H29" s="4"/>
    </row>
    <row r="30" spans="1:8" ht="15.95" customHeight="1">
      <c r="A30" s="3">
        <v>26</v>
      </c>
      <c r="B30" s="17" t="str">
        <f>HYPERLINK("https://www.ejprarediseases.org/","European Joint Programme on Rare Diseases")</f>
        <v>European Joint Programme on Rare Diseases</v>
      </c>
      <c r="C30" s="4" t="s">
        <v>114</v>
      </c>
      <c r="D30" s="4" t="s">
        <v>115</v>
      </c>
      <c r="E30" s="4" t="s">
        <v>88</v>
      </c>
      <c r="F30" s="17" t="s">
        <v>496</v>
      </c>
      <c r="G30" s="35" t="s">
        <v>2031</v>
      </c>
      <c r="H30" s="4"/>
    </row>
    <row r="31" spans="1:8" ht="15.95" customHeight="1">
      <c r="A31" s="3">
        <v>27</v>
      </c>
      <c r="B31" s="17" t="str">
        <f>HYPERLINK("https://erica-rd.eu/","European Rare Disease Research Coordination and Support Action Consortium (ERICA)")</f>
        <v>European Rare Disease Research Coordination and Support Action Consortium (ERICA)</v>
      </c>
      <c r="C31" s="4" t="s">
        <v>114</v>
      </c>
      <c r="D31" s="4" t="s">
        <v>115</v>
      </c>
      <c r="E31" s="4" t="s">
        <v>116</v>
      </c>
      <c r="F31" s="17" t="s">
        <v>498</v>
      </c>
      <c r="G31" s="35" t="s">
        <v>2031</v>
      </c>
      <c r="H31" s="4"/>
    </row>
    <row r="32" spans="1:8" ht="15.95" customHeight="1">
      <c r="A32" s="3">
        <v>28</v>
      </c>
      <c r="B32" s="17" t="str">
        <f>HYPERLINK("https://www.esid.org/","European Society for Immunodeficiencies")</f>
        <v>European Society for Immunodeficiencies</v>
      </c>
      <c r="C32" s="4" t="s">
        <v>114</v>
      </c>
      <c r="D32" s="4" t="s">
        <v>115</v>
      </c>
      <c r="E32" s="4" t="s">
        <v>116</v>
      </c>
      <c r="F32" s="17" t="s">
        <v>381</v>
      </c>
      <c r="G32" s="35">
        <v>2</v>
      </c>
      <c r="H32" s="4"/>
    </row>
    <row r="33" spans="1:8" ht="15.95" customHeight="1">
      <c r="A33" s="3">
        <v>29</v>
      </c>
      <c r="B33" s="17" t="str">
        <f>HYPERLINK("https://www.eshg.org/","European Society of Human Genetics")</f>
        <v>European Society of Human Genetics</v>
      </c>
      <c r="C33" s="4" t="s">
        <v>114</v>
      </c>
      <c r="D33" s="4" t="s">
        <v>115</v>
      </c>
      <c r="E33" s="4" t="s">
        <v>1763</v>
      </c>
      <c r="F33" s="17" t="s">
        <v>1764</v>
      </c>
      <c r="G33" s="35" t="s">
        <v>2030</v>
      </c>
      <c r="H33" s="4"/>
    </row>
    <row r="34" spans="1:8" ht="15.95" customHeight="1">
      <c r="A34" s="3">
        <v>30</v>
      </c>
      <c r="B34" s="17" t="str">
        <f>HYPERLINK("http://www.latingen.org/","Latin American Network of Human Genetics")</f>
        <v>Latin American Network of Human Genetics</v>
      </c>
      <c r="C34" s="4" t="s">
        <v>114</v>
      </c>
      <c r="D34" s="4" t="s">
        <v>295</v>
      </c>
      <c r="E34" s="4" t="s">
        <v>276</v>
      </c>
      <c r="F34" s="17" t="s">
        <v>1851</v>
      </c>
      <c r="G34" s="35" t="s">
        <v>2030</v>
      </c>
      <c r="H34" s="4"/>
    </row>
    <row r="35" spans="1:8" ht="15.95" customHeight="1">
      <c r="A35" s="3">
        <v>31</v>
      </c>
      <c r="B35" s="17" t="str">
        <f>HYPERLINK("https://lasid.org/","Latin American Society for Immunodeficiencies (LASID)")</f>
        <v>Latin American Society for Immunodeficiencies (LASID)</v>
      </c>
      <c r="C35" s="4" t="s">
        <v>114</v>
      </c>
      <c r="D35" s="4" t="s">
        <v>295</v>
      </c>
      <c r="E35" s="4" t="s">
        <v>276</v>
      </c>
      <c r="F35" s="17" t="s">
        <v>383</v>
      </c>
      <c r="G35" s="35">
        <v>2</v>
      </c>
      <c r="H35" s="4"/>
    </row>
    <row r="36" spans="1:8" ht="15.95" customHeight="1">
      <c r="A36" s="3">
        <v>32</v>
      </c>
      <c r="B36" s="17" t="str">
        <f>HYPERLINK("https://slaai.org/","Latin American Society of Allergy and Immunology (SLaai)")</f>
        <v>Latin American Society of Allergy and Immunology (SLaai)</v>
      </c>
      <c r="C36" s="4" t="s">
        <v>114</v>
      </c>
      <c r="D36" s="4" t="s">
        <v>295</v>
      </c>
      <c r="E36" s="4" t="s">
        <v>295</v>
      </c>
      <c r="F36" s="17" t="s">
        <v>476</v>
      </c>
      <c r="G36" s="35">
        <v>3</v>
      </c>
      <c r="H36" s="4"/>
    </row>
    <row r="37" spans="1:8" ht="15.95" customHeight="1">
      <c r="A37" s="3">
        <v>33</v>
      </c>
      <c r="B37" s="17" t="str">
        <f>HYPERLINK("https://www.alaci.org/","Latin American and Caribbean Association of Immunology (ALACI)")</f>
        <v>Latin American and Caribbean Association of Immunology (ALACI)</v>
      </c>
      <c r="C37" s="4" t="s">
        <v>114</v>
      </c>
      <c r="D37" s="4" t="s">
        <v>363</v>
      </c>
      <c r="E37" s="4" t="s">
        <v>280</v>
      </c>
      <c r="F37" s="17" t="s">
        <v>431</v>
      </c>
      <c r="G37" s="35">
        <v>3</v>
      </c>
      <c r="H37" s="4"/>
    </row>
    <row r="38" spans="1:8" ht="15.95" customHeight="1">
      <c r="A38" s="3">
        <v>34</v>
      </c>
      <c r="B38" s="17" t="str">
        <f>HYPERLINK("https://www.alergia.org.ar/","Argentine Association of Allergy and Clinical Immunology (AAAeIC)")</f>
        <v>Argentine Association of Allergy and Clinical Immunology (AAAeIC)</v>
      </c>
      <c r="C38" s="4" t="s">
        <v>15</v>
      </c>
      <c r="D38" s="4" t="s">
        <v>161</v>
      </c>
      <c r="E38" s="4" t="s">
        <v>161</v>
      </c>
      <c r="F38" s="17" t="s">
        <v>433</v>
      </c>
      <c r="G38" s="35">
        <v>3</v>
      </c>
      <c r="H38" s="4"/>
    </row>
    <row r="39" spans="1:8" ht="15.95" customHeight="1">
      <c r="A39" s="3">
        <v>35</v>
      </c>
      <c r="B39" s="17" t="str">
        <f>HYPERLINK("https://sag.org.ar/sitio/","Argentine Genetics Society (SAG)")</f>
        <v>Argentine Genetics Society (SAG)</v>
      </c>
      <c r="C39" s="4" t="s">
        <v>15</v>
      </c>
      <c r="D39" s="4" t="s">
        <v>161</v>
      </c>
      <c r="E39" s="4" t="s">
        <v>161</v>
      </c>
      <c r="F39" s="17" t="s">
        <v>1810</v>
      </c>
      <c r="G39" s="35" t="s">
        <v>2030</v>
      </c>
      <c r="H39" s="4"/>
    </row>
    <row r="40" spans="1:8" ht="15.95" customHeight="1">
      <c r="A40" s="3">
        <v>36</v>
      </c>
      <c r="B40" s="17" t="str">
        <f>HYPERLINK("https://inmunologia.org.ar/","Argentine Society of Immunology (SAI)")</f>
        <v>Argentine Society of Immunology (SAI)</v>
      </c>
      <c r="C40" s="4" t="s">
        <v>15</v>
      </c>
      <c r="D40" s="4" t="s">
        <v>161</v>
      </c>
      <c r="E40" s="4" t="s">
        <v>161</v>
      </c>
      <c r="F40" s="17" t="s">
        <v>389</v>
      </c>
      <c r="G40" s="35">
        <v>3</v>
      </c>
      <c r="H40" s="4"/>
    </row>
    <row r="41" spans="1:8" ht="15.95" customHeight="1">
      <c r="A41" s="3">
        <v>37</v>
      </c>
      <c r="B41" s="17" t="str">
        <f>HYPERLINK("https://www.aacg.org.au/","Australasian Association of Clinical Geneticists")</f>
        <v>Australasian Association of Clinical Geneticists</v>
      </c>
      <c r="C41" s="4" t="s">
        <v>15</v>
      </c>
      <c r="D41" s="4" t="s">
        <v>162</v>
      </c>
      <c r="E41" s="4" t="s">
        <v>162</v>
      </c>
      <c r="F41" s="17" t="s">
        <v>1826</v>
      </c>
      <c r="G41" s="35" t="s">
        <v>2030</v>
      </c>
      <c r="H41" s="4"/>
    </row>
    <row r="42" spans="1:8" ht="15.95" customHeight="1">
      <c r="A42" s="3">
        <v>38</v>
      </c>
      <c r="B42" s="17" t="str">
        <f>HYPERLINK("https://agcts.org.au/presidents-message/","Australasian Gene and Cell Therapy Society")</f>
        <v>Australasian Gene and Cell Therapy Society</v>
      </c>
      <c r="C42" s="4" t="s">
        <v>15</v>
      </c>
      <c r="D42" s="4" t="s">
        <v>162</v>
      </c>
      <c r="E42" s="4" t="s">
        <v>162</v>
      </c>
      <c r="F42" s="17" t="s">
        <v>1829</v>
      </c>
      <c r="G42" s="35" t="s">
        <v>2030</v>
      </c>
      <c r="H42" s="4"/>
    </row>
    <row r="43" spans="1:8" ht="15.95" customHeight="1">
      <c r="A43" s="3">
        <v>39</v>
      </c>
      <c r="B43" s="17" t="str">
        <f>HYPERLINK("https://www.allergy.org.au/","Australasian Society of Clinical Immunology and Allergy")</f>
        <v>Australasian Society of Clinical Immunology and Allergy</v>
      </c>
      <c r="C43" s="4" t="s">
        <v>15</v>
      </c>
      <c r="D43" s="4" t="s">
        <v>162</v>
      </c>
      <c r="E43" s="4" t="s">
        <v>162</v>
      </c>
      <c r="F43" s="17" t="s">
        <v>435</v>
      </c>
      <c r="G43" s="35">
        <v>3</v>
      </c>
      <c r="H43" s="4"/>
    </row>
    <row r="44" spans="1:8" ht="15.95" customHeight="1">
      <c r="A44" s="3">
        <v>40</v>
      </c>
      <c r="B44" s="17" t="str">
        <f>HYPERLINK("https://www.asgc.org.au/","Australasian Society of Genetic Counsellors")</f>
        <v>Australasian Society of Genetic Counsellors</v>
      </c>
      <c r="C44" s="4" t="s">
        <v>15</v>
      </c>
      <c r="D44" s="4" t="s">
        <v>162</v>
      </c>
      <c r="E44" s="4" t="s">
        <v>162</v>
      </c>
      <c r="F44" s="17" t="s">
        <v>1827</v>
      </c>
      <c r="G44" s="35" t="s">
        <v>2030</v>
      </c>
      <c r="H44" s="4"/>
    </row>
    <row r="45" spans="1:8" ht="15.95" customHeight="1">
      <c r="A45" s="3">
        <v>41</v>
      </c>
      <c r="B45" s="17" t="str">
        <f>HYPERLINK("https://www.immunology.org.au/","Australian and New Zealand Society for Immunology Inc.")</f>
        <v>Australian and New Zealand Society for Immunology Inc.</v>
      </c>
      <c r="C45" s="4" t="s">
        <v>15</v>
      </c>
      <c r="D45" s="4" t="s">
        <v>162</v>
      </c>
      <c r="E45" s="4" t="s">
        <v>162</v>
      </c>
      <c r="F45" s="17" t="s">
        <v>391</v>
      </c>
      <c r="G45" s="35">
        <v>3</v>
      </c>
      <c r="H45" s="4"/>
    </row>
    <row r="46" spans="1:8" ht="15.95" customHeight="1">
      <c r="A46" s="3">
        <v>42</v>
      </c>
      <c r="B46" s="17" t="str">
        <f>HYPERLINK("https://www.australiangenomics.org.au/","Australian Genomics")</f>
        <v>Australian Genomics</v>
      </c>
      <c r="C46" s="4" t="s">
        <v>15</v>
      </c>
      <c r="D46" s="4" t="s">
        <v>162</v>
      </c>
      <c r="E46" s="4" t="s">
        <v>162</v>
      </c>
      <c r="F46" s="17" t="s">
        <v>1821</v>
      </c>
      <c r="G46" s="35" t="s">
        <v>2030</v>
      </c>
      <c r="H46" s="4"/>
    </row>
    <row r="47" spans="1:8" ht="15.95" customHeight="1">
      <c r="A47" s="3">
        <v>43</v>
      </c>
      <c r="B47" s="17" t="str">
        <f>HYPERLINK("https://genetics.org.au/","Genetics Society of AustralAsia")</f>
        <v>Genetics Society of AustralAsia</v>
      </c>
      <c r="C47" s="4" t="s">
        <v>15</v>
      </c>
      <c r="D47" s="4" t="s">
        <v>162</v>
      </c>
      <c r="E47" s="4" t="s">
        <v>162</v>
      </c>
      <c r="F47" s="17" t="s">
        <v>1825</v>
      </c>
      <c r="G47" s="35" t="s">
        <v>2030</v>
      </c>
      <c r="H47" s="4"/>
    </row>
    <row r="48" spans="1:8" ht="15.95" customHeight="1">
      <c r="A48" s="3">
        <v>44</v>
      </c>
      <c r="B48" s="17" t="str">
        <f>HYPERLINK("https://www.hgsa.org.au/Web/Default.aspx","Human Genetics Society of Australasia")</f>
        <v>Human Genetics Society of Australasia</v>
      </c>
      <c r="C48" s="4" t="s">
        <v>15</v>
      </c>
      <c r="D48" s="4" t="s">
        <v>162</v>
      </c>
      <c r="E48" s="4" t="s">
        <v>162</v>
      </c>
      <c r="F48" s="17" t="s">
        <v>1823</v>
      </c>
      <c r="G48" s="35" t="s">
        <v>2030</v>
      </c>
      <c r="H48" s="4"/>
    </row>
    <row r="49" spans="1:8" ht="15.95" customHeight="1">
      <c r="A49" s="3">
        <v>45</v>
      </c>
      <c r="B49" s="17" t="str">
        <f>HYPERLINK("https://asbai.org.br/","Brazilian Association of Allergy and Immunology (ASBAI)")</f>
        <v>Brazilian Association of Allergy and Immunology (ASBAI)</v>
      </c>
      <c r="C49" s="4" t="s">
        <v>15</v>
      </c>
      <c r="D49" s="4" t="s">
        <v>276</v>
      </c>
      <c r="E49" s="4" t="s">
        <v>276</v>
      </c>
      <c r="F49" s="17" t="s">
        <v>437</v>
      </c>
      <c r="G49" s="35">
        <v>3</v>
      </c>
      <c r="H49" s="4"/>
    </row>
    <row r="50" spans="1:8" ht="15.95" customHeight="1">
      <c r="A50" s="3">
        <v>46</v>
      </c>
      <c r="B50" s="17" t="str">
        <f>HYPERLINK("https://www.bragid.org.br/novo/","Brazilian Group of Immunodeficiencies (BRAGID)")</f>
        <v>Brazilian Group of Immunodeficiencies (BRAGID)</v>
      </c>
      <c r="C50" s="4" t="s">
        <v>15</v>
      </c>
      <c r="D50" s="4" t="s">
        <v>276</v>
      </c>
      <c r="E50" s="4" t="s">
        <v>276</v>
      </c>
      <c r="F50" s="17" t="s">
        <v>373</v>
      </c>
      <c r="G50" s="35">
        <v>2</v>
      </c>
      <c r="H50" s="4"/>
    </row>
    <row r="51" spans="1:8" ht="15.95" customHeight="1">
      <c r="A51" s="3">
        <v>47</v>
      </c>
      <c r="B51" s="17" t="str">
        <f>HYPERLINK("https://raras.org.br/","Brazilian Rare Disease Network (RARAS)")</f>
        <v>Brazilian Rare Disease Network (RARAS)</v>
      </c>
      <c r="C51" s="4" t="s">
        <v>15</v>
      </c>
      <c r="D51" s="4" t="s">
        <v>276</v>
      </c>
      <c r="E51" s="4" t="s">
        <v>276</v>
      </c>
      <c r="F51" s="17" t="s">
        <v>483</v>
      </c>
      <c r="G51" s="35" t="s">
        <v>2031</v>
      </c>
      <c r="H51" s="4"/>
    </row>
    <row r="52" spans="1:8" ht="15.95" customHeight="1">
      <c r="A52" s="3">
        <v>48</v>
      </c>
      <c r="B52" s="17" t="str">
        <f>HYPERLINK("https://www.sbg.org.br/","Brazilian Society of Genetics")</f>
        <v>Brazilian Society of Genetics</v>
      </c>
      <c r="C52" s="4" t="s">
        <v>15</v>
      </c>
      <c r="D52" s="4" t="s">
        <v>276</v>
      </c>
      <c r="E52" s="4" t="s">
        <v>276</v>
      </c>
      <c r="F52" s="17" t="s">
        <v>1833</v>
      </c>
      <c r="G52" s="35" t="s">
        <v>2030</v>
      </c>
      <c r="H52" s="4"/>
    </row>
    <row r="53" spans="1:8" ht="15.95" customHeight="1">
      <c r="A53" s="3">
        <v>49</v>
      </c>
      <c r="B53" s="17" t="str">
        <f>HYPERLINK("https://sbi.org.br/","Brazilian Society of Immunology (SBI)")</f>
        <v>Brazilian Society of Immunology (SBI)</v>
      </c>
      <c r="C53" s="4" t="s">
        <v>15</v>
      </c>
      <c r="D53" s="4" t="s">
        <v>276</v>
      </c>
      <c r="E53" s="4" t="s">
        <v>276</v>
      </c>
      <c r="F53" s="17" t="s">
        <v>393</v>
      </c>
      <c r="G53" s="35">
        <v>3</v>
      </c>
      <c r="H53" s="4"/>
    </row>
    <row r="54" spans="1:8" ht="15.95" customHeight="1">
      <c r="A54" s="3">
        <v>50</v>
      </c>
      <c r="B54" s="17" t="str">
        <f>HYPERLINK("https://www.sbgm.org.br/","Brazilian Society of Medical Genetics and Genomics")</f>
        <v>Brazilian Society of Medical Genetics and Genomics</v>
      </c>
      <c r="C54" s="4" t="s">
        <v>15</v>
      </c>
      <c r="D54" s="4" t="s">
        <v>276</v>
      </c>
      <c r="E54" s="4" t="s">
        <v>276</v>
      </c>
      <c r="F54" s="17" t="s">
        <v>1812</v>
      </c>
      <c r="G54" s="35" t="s">
        <v>2030</v>
      </c>
      <c r="H54" s="4"/>
    </row>
    <row r="55" spans="1:8" ht="15.95" customHeight="1">
      <c r="A55" s="3">
        <v>51</v>
      </c>
      <c r="B55" s="17" t="str">
        <f>HYPERLINK("http://sbegg.org/","Brazilian Society of Nursing in Genetics and Genomics")</f>
        <v>Brazilian Society of Nursing in Genetics and Genomics</v>
      </c>
      <c r="C55" s="4" t="s">
        <v>15</v>
      </c>
      <c r="D55" s="4" t="s">
        <v>276</v>
      </c>
      <c r="E55" s="4" t="s">
        <v>276</v>
      </c>
      <c r="F55" s="17" t="s">
        <v>1814</v>
      </c>
      <c r="G55" s="35" t="s">
        <v>2030</v>
      </c>
      <c r="H55" s="4"/>
    </row>
    <row r="56" spans="1:8" ht="15.95" customHeight="1">
      <c r="A56" s="3">
        <v>52</v>
      </c>
      <c r="B56" s="17" t="str">
        <f>HYPERLINK("https://www.allergyfoundation.ca/","Canadian Allergy, Asthma, and Immunology Foundation")</f>
        <v>Canadian Allergy, Asthma, and Immunology Foundation</v>
      </c>
      <c r="C56" s="4" t="s">
        <v>15</v>
      </c>
      <c r="D56" s="4" t="s">
        <v>23</v>
      </c>
      <c r="E56" s="4" t="s">
        <v>23</v>
      </c>
      <c r="F56" s="17" t="s">
        <v>394</v>
      </c>
      <c r="G56" s="35">
        <v>3</v>
      </c>
      <c r="H56" s="4"/>
    </row>
    <row r="57" spans="1:8" ht="15.95" customHeight="1">
      <c r="A57" s="3">
        <v>53</v>
      </c>
      <c r="B57" s="17" t="str">
        <f>HYPERLINK("https://www.cagc-accg.ca/","Canadian Association of Genetic Counsellors")</f>
        <v>Canadian Association of Genetic Counsellors</v>
      </c>
      <c r="C57" s="4" t="s">
        <v>15</v>
      </c>
      <c r="D57" s="4" t="s">
        <v>23</v>
      </c>
      <c r="E57" s="4" t="s">
        <v>23</v>
      </c>
      <c r="F57" s="17" t="s">
        <v>1793</v>
      </c>
      <c r="G57" s="35" t="s">
        <v>2030</v>
      </c>
      <c r="H57" s="4"/>
    </row>
    <row r="58" spans="1:8" ht="15.95" customHeight="1">
      <c r="A58" s="3">
        <v>54</v>
      </c>
      <c r="B58" s="17" t="str">
        <f>HYPERLINK("https://www.ccmg-ccgm.org/","Canadian College of Medical Geneticists")</f>
        <v>Canadian College of Medical Geneticists</v>
      </c>
      <c r="C58" s="4" t="s">
        <v>15</v>
      </c>
      <c r="D58" s="4" t="s">
        <v>23</v>
      </c>
      <c r="E58" s="4" t="s">
        <v>23</v>
      </c>
      <c r="F58" s="17" t="s">
        <v>1795</v>
      </c>
      <c r="G58" s="35" t="s">
        <v>2030</v>
      </c>
      <c r="H58" s="4"/>
    </row>
    <row r="59" spans="1:8" ht="15.95" customHeight="1">
      <c r="A59" s="3">
        <v>55</v>
      </c>
      <c r="B59" s="17" t="str">
        <f>HYPERLINK("https://www.csi-sci.ca/","Canadian Society for Immunology")</f>
        <v>Canadian Society for Immunology</v>
      </c>
      <c r="C59" s="4" t="s">
        <v>15</v>
      </c>
      <c r="D59" s="4" t="s">
        <v>23</v>
      </c>
      <c r="E59" s="4" t="s">
        <v>23</v>
      </c>
      <c r="F59" s="17" t="s">
        <v>396</v>
      </c>
      <c r="G59" s="35">
        <v>3</v>
      </c>
      <c r="H59" s="4"/>
    </row>
    <row r="60" spans="1:8" ht="15.95" customHeight="1">
      <c r="A60" s="3">
        <v>56</v>
      </c>
      <c r="B60" s="17" t="str">
        <f>HYPERLINK("https://www.csaci.ca/","Canadian Society of Allergy and Clinical Immunology")</f>
        <v>Canadian Society of Allergy and Clinical Immunology</v>
      </c>
      <c r="C60" s="4" t="s">
        <v>15</v>
      </c>
      <c r="D60" s="4" t="s">
        <v>23</v>
      </c>
      <c r="E60" s="4" t="s">
        <v>23</v>
      </c>
      <c r="F60" s="17" t="s">
        <v>439</v>
      </c>
      <c r="G60" s="35">
        <v>3</v>
      </c>
      <c r="H60" s="4"/>
    </row>
    <row r="61" spans="1:8" ht="15.95" customHeight="1">
      <c r="A61" s="3">
        <v>57</v>
      </c>
      <c r="B61" s="17" t="str">
        <f>HYPERLINK("https://genomecanada.ca/","Genome Canada")</f>
        <v>Genome Canada</v>
      </c>
      <c r="C61" s="4" t="s">
        <v>15</v>
      </c>
      <c r="D61" s="4" t="s">
        <v>23</v>
      </c>
      <c r="E61" s="4" t="s">
        <v>23</v>
      </c>
      <c r="F61" s="17" t="s">
        <v>1792</v>
      </c>
      <c r="G61" s="35" t="s">
        <v>2030</v>
      </c>
      <c r="H61" s="4"/>
    </row>
    <row r="62" spans="1:8" ht="15.95" customHeight="1">
      <c r="A62" s="3">
        <v>58</v>
      </c>
      <c r="B62" s="17" t="str">
        <f>HYPERLINK("https://www.cipo.ca/","Immunodeficiency Canada Network")</f>
        <v>Immunodeficiency Canada Network</v>
      </c>
      <c r="C62" s="4" t="s">
        <v>15</v>
      </c>
      <c r="D62" s="4" t="s">
        <v>23</v>
      </c>
      <c r="E62" s="4" t="s">
        <v>23</v>
      </c>
      <c r="F62" s="17" t="s">
        <v>375</v>
      </c>
      <c r="G62" s="35">
        <v>2</v>
      </c>
      <c r="H62" s="4"/>
    </row>
    <row r="63" spans="1:8" ht="15.95" customHeight="1">
      <c r="A63" s="3">
        <v>59</v>
      </c>
      <c r="B63" s="17" t="str">
        <f>HYPERLINK("https://www.rarekidscan.com/","RareKids-CAN (Pediatric Rare Disease Clinical Trials and Treatment Network)")</f>
        <v>RareKids-CAN (Pediatric Rare Disease Clinical Trials and Treatment Network)</v>
      </c>
      <c r="C63" s="4" t="s">
        <v>15</v>
      </c>
      <c r="D63" s="4" t="s">
        <v>23</v>
      </c>
      <c r="E63" s="4" t="s">
        <v>23</v>
      </c>
      <c r="F63" s="17" t="s">
        <v>484</v>
      </c>
      <c r="G63" s="35" t="s">
        <v>2031</v>
      </c>
      <c r="H63" s="4"/>
    </row>
    <row r="64" spans="1:8" ht="15.95" customHeight="1">
      <c r="A64" s="3">
        <v>60</v>
      </c>
      <c r="B64" s="17" t="str">
        <f>HYPERLINK("https://home.acaai.co/","Colombian Association of Allergy, Asthma and Immunology")</f>
        <v>Colombian Association of Allergy, Asthma and Immunology</v>
      </c>
      <c r="C64" s="4" t="s">
        <v>15</v>
      </c>
      <c r="D64" s="4" t="s">
        <v>280</v>
      </c>
      <c r="E64" s="4" t="s">
        <v>280</v>
      </c>
      <c r="F64" s="17" t="s">
        <v>441</v>
      </c>
      <c r="G64" s="35">
        <v>3</v>
      </c>
      <c r="H64" s="4"/>
    </row>
    <row r="65" spans="1:8" ht="15.95" customHeight="1">
      <c r="A65" s="3">
        <v>61</v>
      </c>
      <c r="B65" s="17" t="str">
        <f>HYPERLINK("https://acgh.com.co/","Colombian Association of Human Genetics")</f>
        <v>Colombian Association of Human Genetics</v>
      </c>
      <c r="C65" s="4" t="s">
        <v>15</v>
      </c>
      <c r="D65" s="4" t="s">
        <v>280</v>
      </c>
      <c r="E65" s="4" t="s">
        <v>280</v>
      </c>
      <c r="F65" s="17" t="s">
        <v>1791</v>
      </c>
      <c r="G65" s="35" t="s">
        <v>2030</v>
      </c>
      <c r="H65" s="4"/>
    </row>
    <row r="66" spans="1:8" ht="15.95" customHeight="1">
      <c r="A66" s="3">
        <v>62</v>
      </c>
      <c r="B66" s="17" t="str">
        <f>HYPERLINK("https://www.inmunoacoi.com/","Colombian Association of Immunology (ACI)")</f>
        <v>Colombian Association of Immunology (ACI)</v>
      </c>
      <c r="C66" s="4" t="s">
        <v>15</v>
      </c>
      <c r="D66" s="4" t="s">
        <v>280</v>
      </c>
      <c r="E66" s="4" t="s">
        <v>280</v>
      </c>
      <c r="F66" s="17" t="s">
        <v>398</v>
      </c>
      <c r="G66" s="35">
        <v>3</v>
      </c>
      <c r="H66" s="4"/>
    </row>
    <row r="67" spans="1:8" ht="15.95" customHeight="1">
      <c r="A67" s="3">
        <v>63</v>
      </c>
      <c r="B67" s="17" t="str">
        <f>HYPERLINK("https://www.udea.edu.co/wps/portal/udea/web/inicio/investigacion/grupos-investigacion/ciencias-medicas-salud/inmunodeficiencias-primarias","Primary Immunodeficiencies Group (IDP) of the University of Antioquia")</f>
        <v>Primary Immunodeficiencies Group (IDP) of the University of Antioquia</v>
      </c>
      <c r="C67" s="4" t="s">
        <v>15</v>
      </c>
      <c r="D67" s="4" t="s">
        <v>280</v>
      </c>
      <c r="E67" s="4" t="s">
        <v>280</v>
      </c>
      <c r="F67" s="17" t="s">
        <v>374</v>
      </c>
      <c r="G67" s="35">
        <v>1</v>
      </c>
      <c r="H67" s="4"/>
    </row>
    <row r="68" spans="1:8" ht="15.95" customHeight="1">
      <c r="A68" s="3">
        <v>64</v>
      </c>
      <c r="B68" s="17" t="str">
        <f>HYPERLINK("https://www.fimatho.fr/en/research-and-financing/bndmr","FIMATHO Rare Disease Health Network")</f>
        <v>FIMATHO Rare Disease Health Network</v>
      </c>
      <c r="C68" s="4" t="s">
        <v>15</v>
      </c>
      <c r="D68" s="4" t="s">
        <v>88</v>
      </c>
      <c r="E68" s="4" t="s">
        <v>88</v>
      </c>
      <c r="F68" s="17" t="s">
        <v>485</v>
      </c>
      <c r="G68" s="35" t="s">
        <v>2031</v>
      </c>
      <c r="H68" s="4"/>
    </row>
    <row r="69" spans="1:8" ht="15.95" customHeight="1">
      <c r="A69" s="3">
        <v>65</v>
      </c>
      <c r="B69" s="17" t="str">
        <f>HYPERLINK("https://fondation-maladiesrares.org/en/","Foundation for Rare Diseases")</f>
        <v>Foundation for Rare Diseases</v>
      </c>
      <c r="C69" s="4" t="s">
        <v>15</v>
      </c>
      <c r="D69" s="4" t="s">
        <v>88</v>
      </c>
      <c r="E69" s="4" t="s">
        <v>88</v>
      </c>
      <c r="F69" s="17" t="s">
        <v>487</v>
      </c>
      <c r="G69" s="35" t="s">
        <v>2031</v>
      </c>
      <c r="H69" s="4"/>
    </row>
    <row r="70" spans="1:8" ht="15.95" customHeight="1">
      <c r="A70" s="3">
        <v>66</v>
      </c>
      <c r="B70" s="17" t="str">
        <f>HYPERLINK("https://af-cg.fr/","French Association of Genetic Counsellors (AFCG)")</f>
        <v>French Association of Genetic Counsellors (AFCG)</v>
      </c>
      <c r="C70" s="4" t="s">
        <v>15</v>
      </c>
      <c r="D70" s="4" t="s">
        <v>88</v>
      </c>
      <c r="E70" s="4" t="s">
        <v>88</v>
      </c>
      <c r="F70" s="17" t="s">
        <v>1848</v>
      </c>
      <c r="G70" s="35" t="s">
        <v>2030</v>
      </c>
      <c r="H70" s="4"/>
    </row>
    <row r="71" spans="1:8" ht="15.95" customHeight="1">
      <c r="A71" s="3">
        <v>67</v>
      </c>
      <c r="B71" s="17" t="str">
        <f>HYPERLINK("https://ffgh.net/","French Federation of Human Genetics (FFGH)")</f>
        <v>French Federation of Human Genetics (FFGH)</v>
      </c>
      <c r="C71" s="4" t="s">
        <v>15</v>
      </c>
      <c r="D71" s="4" t="s">
        <v>88</v>
      </c>
      <c r="E71" s="4" t="s">
        <v>88</v>
      </c>
      <c r="F71" s="17" t="s">
        <v>1849</v>
      </c>
      <c r="G71" s="35" t="s">
        <v>2030</v>
      </c>
      <c r="H71" s="4"/>
    </row>
    <row r="72" spans="1:8" ht="15.95" customHeight="1">
      <c r="A72" s="3">
        <v>68</v>
      </c>
      <c r="B72" s="17" t="str">
        <f>HYPERLINK("https://www.ceredih.fr/home","French National Reference Center for Primary Immunodeficiencies (CEREDIH)")</f>
        <v>French National Reference Center for Primary Immunodeficiencies (CEREDIH)</v>
      </c>
      <c r="C72" s="4" t="s">
        <v>15</v>
      </c>
      <c r="D72" s="4" t="s">
        <v>88</v>
      </c>
      <c r="E72" s="4" t="s">
        <v>88</v>
      </c>
      <c r="F72" s="17" t="s">
        <v>366</v>
      </c>
      <c r="G72" s="35">
        <v>1</v>
      </c>
      <c r="H72" s="4"/>
    </row>
    <row r="73" spans="1:8" ht="15.95" customHeight="1">
      <c r="A73" s="3">
        <v>69</v>
      </c>
      <c r="B73" s="17" t="str">
        <f>HYPERLINK("https://www.sfgenetique.org/","French Society of Genetics (SFG)")</f>
        <v>French Society of Genetics (SFG)</v>
      </c>
      <c r="C73" s="4" t="s">
        <v>15</v>
      </c>
      <c r="D73" s="4" t="s">
        <v>88</v>
      </c>
      <c r="E73" s="4" t="s">
        <v>88</v>
      </c>
      <c r="F73" s="17" t="s">
        <v>1789</v>
      </c>
      <c r="G73" s="35" t="s">
        <v>2030</v>
      </c>
      <c r="H73" s="4"/>
    </row>
    <row r="74" spans="1:8" ht="15.95" customHeight="1">
      <c r="A74" s="3">
        <v>70</v>
      </c>
      <c r="B74" s="17" t="str">
        <f>HYPERLINK("https://sites.google.com/view/sfgh2019","French Society of Human Genetics (SFGH)")</f>
        <v>French Society of Human Genetics (SFGH)</v>
      </c>
      <c r="C74" s="4" t="s">
        <v>15</v>
      </c>
      <c r="D74" s="4" t="s">
        <v>88</v>
      </c>
      <c r="E74" s="4" t="s">
        <v>88</v>
      </c>
      <c r="F74" s="17" t="s">
        <v>1850</v>
      </c>
      <c r="G74" s="35" t="s">
        <v>2030</v>
      </c>
      <c r="H74" s="4"/>
    </row>
    <row r="75" spans="1:8" ht="15.95" customHeight="1">
      <c r="A75" s="3">
        <v>71</v>
      </c>
      <c r="B75" s="17" t="str">
        <f>HYPERLINK("https://immunology.fr/fr/","French Society of Immunology (SFI)")</f>
        <v>French Society of Immunology (SFI)</v>
      </c>
      <c r="C75" s="4" t="s">
        <v>15</v>
      </c>
      <c r="D75" s="4" t="s">
        <v>88</v>
      </c>
      <c r="E75" s="4" t="s">
        <v>88</v>
      </c>
      <c r="F75" s="17" t="s">
        <v>399</v>
      </c>
      <c r="G75" s="35">
        <v>3</v>
      </c>
      <c r="H75" s="4"/>
    </row>
    <row r="76" spans="1:8" ht="15.95" customHeight="1">
      <c r="A76" s="3">
        <v>72</v>
      </c>
      <c r="B76" s="17" t="str">
        <f>HYPERLINK("https://www.care-for-rare.org/en/home/","Care-for-Rare Foundation")</f>
        <v>Care-for-Rare Foundation</v>
      </c>
      <c r="C76" s="4" t="s">
        <v>15</v>
      </c>
      <c r="D76" s="4" t="s">
        <v>91</v>
      </c>
      <c r="E76" s="4" t="s">
        <v>91</v>
      </c>
      <c r="F76" s="17" t="s">
        <v>488</v>
      </c>
      <c r="G76" s="35" t="s">
        <v>2031</v>
      </c>
      <c r="H76" s="4"/>
    </row>
    <row r="77" spans="1:8" ht="15.95" customHeight="1">
      <c r="A77" s="3">
        <v>73</v>
      </c>
      <c r="B77" s="17" t="str">
        <f>HYPERLINK("https://www.dgaki.de/","German Society for Allergology and Clinical Immunology (DGAKI)")</f>
        <v>German Society for Allergology and Clinical Immunology (DGAKI)</v>
      </c>
      <c r="C77" s="4" t="s">
        <v>15</v>
      </c>
      <c r="D77" s="4" t="s">
        <v>91</v>
      </c>
      <c r="E77" s="4" t="s">
        <v>91</v>
      </c>
      <c r="F77" s="17" t="s">
        <v>443</v>
      </c>
      <c r="G77" s="35">
        <v>3</v>
      </c>
      <c r="H77" s="4"/>
    </row>
    <row r="78" spans="1:8" ht="15.95" customHeight="1">
      <c r="A78" s="3">
        <v>74</v>
      </c>
      <c r="B78" s="17" t="str">
        <f>HYPERLINK("https://dgfi.org/","German Society for Immunology (DGfI)")</f>
        <v>German Society for Immunology (DGfI)</v>
      </c>
      <c r="C78" s="4" t="s">
        <v>15</v>
      </c>
      <c r="D78" s="4" t="s">
        <v>91</v>
      </c>
      <c r="E78" s="4" t="s">
        <v>91</v>
      </c>
      <c r="F78" s="17" t="s">
        <v>401</v>
      </c>
      <c r="G78" s="35">
        <v>3</v>
      </c>
      <c r="H78" s="4"/>
    </row>
    <row r="79" spans="1:8" ht="15.95" customHeight="1">
      <c r="A79" s="3">
        <v>75</v>
      </c>
      <c r="B79" s="17" t="str">
        <f>HYPERLINK("https://gfhev.de/","German Society of Human Genetics")</f>
        <v>German Society of Human Genetics</v>
      </c>
      <c r="C79" s="4" t="s">
        <v>15</v>
      </c>
      <c r="D79" s="4" t="s">
        <v>91</v>
      </c>
      <c r="E79" s="4" t="s">
        <v>91</v>
      </c>
      <c r="F79" s="17" t="s">
        <v>1804</v>
      </c>
      <c r="G79" s="35" t="s">
        <v>2030</v>
      </c>
      <c r="H79" s="4"/>
    </row>
    <row r="80" spans="1:8" ht="15.95" customHeight="1">
      <c r="A80" s="3">
        <v>76</v>
      </c>
      <c r="B80" s="17" t="str">
        <f>HYPERLINK("https://www.research4rare.de/en/","Research For Rare: German Networks on Rare Diesease")</f>
        <v>Research For Rare: German Networks on Rare Diesease</v>
      </c>
      <c r="C80" s="4" t="s">
        <v>15</v>
      </c>
      <c r="D80" s="4" t="s">
        <v>91</v>
      </c>
      <c r="E80" s="4" t="s">
        <v>91</v>
      </c>
      <c r="F80" s="33" t="s">
        <v>1571</v>
      </c>
      <c r="G80" s="35" t="s">
        <v>2031</v>
      </c>
      <c r="H80" s="4"/>
    </row>
    <row r="81" spans="1:8" ht="15.95" customHeight="1">
      <c r="A81" s="3">
        <v>77</v>
      </c>
      <c r="B81" s="17" t="str">
        <f>HYPERLINK("https://www.aieop.org/web/operatori-sanitari/gruppi-di-lavoro/immunodeficienze/","AIEOP Immunodeficiency Working Group - IPINet")</f>
        <v>AIEOP Immunodeficiency Working Group - IPINet</v>
      </c>
      <c r="C81" s="4" t="s">
        <v>15</v>
      </c>
      <c r="D81" s="4" t="s">
        <v>16</v>
      </c>
      <c r="E81" s="4" t="s">
        <v>16</v>
      </c>
      <c r="F81" s="17" t="s">
        <v>376</v>
      </c>
      <c r="G81" s="35">
        <v>1</v>
      </c>
      <c r="H81" s="4"/>
    </row>
    <row r="82" spans="1:8" ht="15.95" customHeight="1">
      <c r="A82" s="3">
        <v>78</v>
      </c>
      <c r="B82" s="17" t="str">
        <f>HYPERLINK("https://siaaic.org/","Italian Society of Allergology, Asthma and Clinical Immunology (SIAAIC)")</f>
        <v>Italian Society of Allergology, Asthma and Clinical Immunology (SIAAIC)</v>
      </c>
      <c r="C82" s="4" t="s">
        <v>15</v>
      </c>
      <c r="D82" s="4" t="s">
        <v>16</v>
      </c>
      <c r="E82" s="4" t="s">
        <v>16</v>
      </c>
      <c r="F82" s="17" t="s">
        <v>445</v>
      </c>
      <c r="G82" s="35">
        <v>3</v>
      </c>
      <c r="H82" s="4"/>
    </row>
    <row r="83" spans="1:8" ht="15.95" customHeight="1">
      <c r="A83" s="3">
        <v>79</v>
      </c>
      <c r="B83" s="17" t="str">
        <f>HYPERLINK("https://sigu.net/","Italian Society of Human Genetics (SIGU)")</f>
        <v>Italian Society of Human Genetics (SIGU)</v>
      </c>
      <c r="C83" s="4" t="s">
        <v>15</v>
      </c>
      <c r="D83" s="4" t="s">
        <v>16</v>
      </c>
      <c r="E83" s="4" t="s">
        <v>16</v>
      </c>
      <c r="F83" s="17" t="s">
        <v>1806</v>
      </c>
      <c r="G83" s="35" t="s">
        <v>2030</v>
      </c>
      <c r="H83" s="4"/>
    </row>
    <row r="84" spans="1:8" ht="15.95" customHeight="1">
      <c r="A84" s="3">
        <v>80</v>
      </c>
      <c r="B84" s="17" t="str">
        <f>HYPERLINK("https://siica.it/","Italian Society of Immunology, Clinical Immunology and Allergology (SIICA)")</f>
        <v>Italian Society of Immunology, Clinical Immunology and Allergology (SIICA)</v>
      </c>
      <c r="C84" s="4" t="s">
        <v>15</v>
      </c>
      <c r="D84" s="4" t="s">
        <v>16</v>
      </c>
      <c r="E84" s="4" t="s">
        <v>16</v>
      </c>
      <c r="F84" s="17" t="s">
        <v>447</v>
      </c>
      <c r="G84" s="35">
        <v>3</v>
      </c>
      <c r="H84" s="4"/>
    </row>
    <row r="85" spans="1:8" ht="15.95" customHeight="1">
      <c r="A85" s="3">
        <v>81</v>
      </c>
      <c r="B85" s="17" t="str">
        <f>HYPERLINK("https://gsj3.org/","Genetics Society of Japan")</f>
        <v>Genetics Society of Japan</v>
      </c>
      <c r="C85" s="4" t="s">
        <v>15</v>
      </c>
      <c r="D85" s="4" t="s">
        <v>110</v>
      </c>
      <c r="E85" s="4" t="s">
        <v>110</v>
      </c>
      <c r="F85" s="17" t="s">
        <v>1785</v>
      </c>
      <c r="G85" s="35" t="s">
        <v>2030</v>
      </c>
      <c r="H85" s="4"/>
    </row>
    <row r="86" spans="1:8" ht="15.95" customHeight="1">
      <c r="A86" s="3">
        <v>82</v>
      </c>
      <c r="B86" s="17" t="str">
        <f>HYPERLINK("https://www.jsgct.jp/","Japan Society of Gene and Cell Therapy")</f>
        <v>Japan Society of Gene and Cell Therapy</v>
      </c>
      <c r="C86" s="4" t="s">
        <v>15</v>
      </c>
      <c r="D86" s="4" t="s">
        <v>110</v>
      </c>
      <c r="E86" s="4" t="s">
        <v>110</v>
      </c>
      <c r="F86" s="17" t="s">
        <v>1787</v>
      </c>
      <c r="G86" s="35" t="s">
        <v>2030</v>
      </c>
      <c r="H86" s="4"/>
    </row>
    <row r="87" spans="1:8" ht="15.95" customHeight="1">
      <c r="A87" s="3">
        <v>83</v>
      </c>
      <c r="B87" s="17" t="str">
        <f>HYPERLINK("https://jshg.jp/","Japan Society of Human Genetics")</f>
        <v>Japan Society of Human Genetics</v>
      </c>
      <c r="C87" s="4" t="s">
        <v>15</v>
      </c>
      <c r="D87" s="4" t="s">
        <v>110</v>
      </c>
      <c r="E87" s="4" t="s">
        <v>110</v>
      </c>
      <c r="F87" s="17" t="s">
        <v>1780</v>
      </c>
      <c r="G87" s="35" t="s">
        <v>2030</v>
      </c>
      <c r="H87" s="4"/>
    </row>
    <row r="88" spans="1:8" ht="15.95" customHeight="1">
      <c r="A88" s="3">
        <v>84</v>
      </c>
      <c r="B88" s="17" t="str">
        <f>HYPERLINK("https://www.jsgc.jp/","Japanese Society for Genetic Counseling")</f>
        <v>Japanese Society for Genetic Counseling</v>
      </c>
      <c r="C88" s="4" t="s">
        <v>15</v>
      </c>
      <c r="D88" s="4" t="s">
        <v>110</v>
      </c>
      <c r="E88" s="4" t="s">
        <v>110</v>
      </c>
      <c r="F88" s="17" t="s">
        <v>1782</v>
      </c>
      <c r="G88" s="35" t="s">
        <v>2030</v>
      </c>
      <c r="H88" s="4"/>
    </row>
    <row r="89" spans="1:8" ht="15.95" customHeight="1">
      <c r="A89" s="3">
        <v>85</v>
      </c>
      <c r="B89" s="17" t="str">
        <f>HYPERLINK("https://jsiad.org/","Japanese Society for Immunodeficiency and Autoinflammatory Diseases (JSIAD)")</f>
        <v>Japanese Society for Immunodeficiency and Autoinflammatory Diseases (JSIAD)</v>
      </c>
      <c r="C89" s="4" t="s">
        <v>15</v>
      </c>
      <c r="D89" s="4" t="s">
        <v>110</v>
      </c>
      <c r="E89" s="4" t="s">
        <v>110</v>
      </c>
      <c r="F89" s="17" t="s">
        <v>378</v>
      </c>
      <c r="G89" s="35">
        <v>2</v>
      </c>
      <c r="H89" s="4"/>
    </row>
    <row r="90" spans="1:8" ht="15.95" customHeight="1">
      <c r="A90" s="3">
        <v>86</v>
      </c>
      <c r="B90" s="17" t="str">
        <f>HYPERLINK("https://www.jsi-men-eki.org/","Japanese Society for Immunology")</f>
        <v>Japanese Society for Immunology</v>
      </c>
      <c r="C90" s="4" t="s">
        <v>15</v>
      </c>
      <c r="D90" s="4" t="s">
        <v>110</v>
      </c>
      <c r="E90" s="4" t="s">
        <v>110</v>
      </c>
      <c r="F90" s="17" t="s">
        <v>403</v>
      </c>
      <c r="G90" s="35">
        <v>3</v>
      </c>
      <c r="H90" s="4"/>
    </row>
    <row r="91" spans="1:8" ht="15.95" customHeight="1">
      <c r="A91" s="3">
        <v>87</v>
      </c>
      <c r="B91" s="17" t="str">
        <f>HYPERLINK("https://www.jscia.org/","Japanese Society of Allergy, Immunology and Cutaneous Medicine (JSCIA)")</f>
        <v>Japanese Society of Allergy, Immunology and Cutaneous Medicine (JSCIA)</v>
      </c>
      <c r="C91" s="4" t="s">
        <v>15</v>
      </c>
      <c r="D91" s="4" t="s">
        <v>110</v>
      </c>
      <c r="E91" s="4" t="s">
        <v>110</v>
      </c>
      <c r="F91" s="17" t="s">
        <v>449</v>
      </c>
      <c r="G91" s="35">
        <v>3</v>
      </c>
      <c r="H91" s="4"/>
    </row>
    <row r="92" spans="1:8" ht="15.95" customHeight="1">
      <c r="A92" s="3">
        <v>88</v>
      </c>
      <c r="B92" s="17" t="str">
        <f>HYPERLINK("https://www.jsci73.net/","Japanese Society of Clinical Immunology")</f>
        <v>Japanese Society of Clinical Immunology</v>
      </c>
      <c r="C92" s="4" t="s">
        <v>15</v>
      </c>
      <c r="D92" s="4" t="s">
        <v>110</v>
      </c>
      <c r="E92" s="4" t="s">
        <v>110</v>
      </c>
      <c r="F92" s="17" t="s">
        <v>405</v>
      </c>
      <c r="G92" s="35">
        <v>3</v>
      </c>
      <c r="H92" s="4"/>
    </row>
    <row r="93" spans="1:8" ht="15.95" customHeight="1">
      <c r="A93" s="3">
        <v>89</v>
      </c>
      <c r="B93" s="17" t="str">
        <f>HYPERLINK("http://www.gene-dt.jp/","Japanese Society of Genetic Medicine")</f>
        <v>Japanese Society of Genetic Medicine</v>
      </c>
      <c r="C93" s="4" t="s">
        <v>15</v>
      </c>
      <c r="D93" s="4" t="s">
        <v>110</v>
      </c>
      <c r="E93" s="4" t="s">
        <v>110</v>
      </c>
      <c r="F93" s="17" t="s">
        <v>1783</v>
      </c>
      <c r="G93" s="35" t="s">
        <v>2030</v>
      </c>
      <c r="H93" s="4"/>
    </row>
    <row r="94" spans="1:8" ht="15.95" customHeight="1">
      <c r="A94" s="3">
        <v>90</v>
      </c>
      <c r="B94" s="17" t="str">
        <f>HYPERLINK("https://www.jspaci.jp/","Japanese Society of Pediatric Allergy and Clinical Immunology")</f>
        <v>Japanese Society of Pediatric Allergy and Clinical Immunology</v>
      </c>
      <c r="C94" s="4" t="s">
        <v>15</v>
      </c>
      <c r="D94" s="4" t="s">
        <v>110</v>
      </c>
      <c r="E94" s="4" t="s">
        <v>110</v>
      </c>
      <c r="F94" s="17" t="s">
        <v>451</v>
      </c>
      <c r="G94" s="35">
        <v>3</v>
      </c>
      <c r="H94" s="4"/>
    </row>
    <row r="95" spans="1:8" ht="15.95" customHeight="1">
      <c r="A95" s="3">
        <v>91</v>
      </c>
      <c r="B95" s="17" t="str">
        <f>HYPERLINK("https://www.alagenet.org/","Latin American Genetics Society (ALAG)")</f>
        <v>Latin American Genetics Society (ALAG)</v>
      </c>
      <c r="C95" s="4" t="s">
        <v>15</v>
      </c>
      <c r="D95" s="4" t="s">
        <v>295</v>
      </c>
      <c r="E95" s="4" t="s">
        <v>1817</v>
      </c>
      <c r="F95" s="17" t="s">
        <v>1818</v>
      </c>
      <c r="G95" s="35" t="s">
        <v>2030</v>
      </c>
      <c r="H95" s="4"/>
    </row>
    <row r="96" spans="1:8" ht="15.95" customHeight="1">
      <c r="A96" s="3">
        <v>92</v>
      </c>
      <c r="B96" s="17" t="str">
        <f>HYPERLINK("https://saais.org.sa/","Saudi Allergy, Asthma and Immunology Society")</f>
        <v>Saudi Allergy, Asthma and Immunology Society</v>
      </c>
      <c r="C96" s="4" t="s">
        <v>15</v>
      </c>
      <c r="D96" s="4" t="s">
        <v>299</v>
      </c>
      <c r="E96" s="4" t="s">
        <v>299</v>
      </c>
      <c r="F96" s="17" t="s">
        <v>453</v>
      </c>
      <c r="G96" s="35">
        <v>3</v>
      </c>
      <c r="H96" s="4"/>
    </row>
    <row r="97" spans="1:8" ht="15.95" customHeight="1">
      <c r="A97" s="3">
        <v>93</v>
      </c>
      <c r="B97" s="17" t="str">
        <f>HYPERLINK("https://ssmg.org.sa/en","Saudi Society of Medical Genetics")</f>
        <v>Saudi Society of Medical Genetics</v>
      </c>
      <c r="C97" s="4" t="s">
        <v>15</v>
      </c>
      <c r="D97" s="4" t="s">
        <v>299</v>
      </c>
      <c r="E97" s="4" t="s">
        <v>299</v>
      </c>
      <c r="F97" s="17" t="s">
        <v>1808</v>
      </c>
      <c r="G97" s="35" t="s">
        <v>2030</v>
      </c>
      <c r="H97" s="4"/>
    </row>
    <row r="98" spans="1:8" ht="15.95" customHeight="1">
      <c r="A98" s="3">
        <v>94</v>
      </c>
      <c r="B98" s="17" t="str">
        <f>HYPERLINK("https://www.kfrd.org/","Korea Rare Disease Foundation")</f>
        <v>Korea Rare Disease Foundation</v>
      </c>
      <c r="C98" s="4" t="s">
        <v>15</v>
      </c>
      <c r="D98" s="4" t="s">
        <v>344</v>
      </c>
      <c r="E98" s="4" t="s">
        <v>344</v>
      </c>
      <c r="F98" s="17" t="s">
        <v>489</v>
      </c>
      <c r="G98" s="35" t="s">
        <v>2031</v>
      </c>
      <c r="H98" s="4"/>
    </row>
    <row r="99" spans="1:8" ht="15.95" customHeight="1">
      <c r="A99" s="3">
        <v>95</v>
      </c>
      <c r="B99" s="17" t="str">
        <f>HYPERLINK("https://www.allergy.or.kr/","Korean Academy of Asthma, Allergy and Clinical Immunology")</f>
        <v>Korean Academy of Asthma, Allergy and Clinical Immunology</v>
      </c>
      <c r="C99" s="4" t="s">
        <v>15</v>
      </c>
      <c r="D99" s="4" t="s">
        <v>344</v>
      </c>
      <c r="E99" s="4" t="s">
        <v>344</v>
      </c>
      <c r="F99" s="17" t="s">
        <v>455</v>
      </c>
      <c r="G99" s="35">
        <v>3</v>
      </c>
      <c r="H99" s="4"/>
    </row>
    <row r="100" spans="1:8" ht="15.95" customHeight="1">
      <c r="A100" s="3">
        <v>96</v>
      </c>
      <c r="B100" s="17" t="str">
        <f>HYPERLINK("https://www.ksimm.or.kr/html/?pmode=intro2","Korean Association of Immunologists")</f>
        <v>Korean Association of Immunologists</v>
      </c>
      <c r="C100" s="4" t="s">
        <v>15</v>
      </c>
      <c r="D100" s="4" t="s">
        <v>344</v>
      </c>
      <c r="E100" s="4" t="s">
        <v>344</v>
      </c>
      <c r="F100" s="17" t="s">
        <v>407</v>
      </c>
      <c r="G100" s="35">
        <v>3</v>
      </c>
      <c r="H100" s="4"/>
    </row>
    <row r="101" spans="1:8" ht="15.95" customHeight="1">
      <c r="A101" s="3">
        <v>97</v>
      </c>
      <c r="B101" s="17" t="str">
        <f>HYPERLINK("https://www.ksgd.org/","Korean Society for Genetic Diagnostics")</f>
        <v>Korean Society for Genetic Diagnostics</v>
      </c>
      <c r="C101" s="4" t="s">
        <v>15</v>
      </c>
      <c r="D101" s="4" t="s">
        <v>344</v>
      </c>
      <c r="E101" s="4" t="s">
        <v>344</v>
      </c>
      <c r="F101" s="17" t="s">
        <v>1776</v>
      </c>
      <c r="G101" s="35" t="s">
        <v>2030</v>
      </c>
      <c r="H101" s="4"/>
    </row>
    <row r="102" spans="1:8" ht="15.95" customHeight="1">
      <c r="A102" s="3">
        <v>98</v>
      </c>
      <c r="B102" s="17" t="str">
        <f>HYPERLINK("https://ksrid.com/","Korean Society for Rare and Incurable Diseases")</f>
        <v>Korean Society for Rare and Incurable Diseases</v>
      </c>
      <c r="C102" s="4" t="s">
        <v>15</v>
      </c>
      <c r="D102" s="4" t="s">
        <v>344</v>
      </c>
      <c r="E102" s="4" t="s">
        <v>344</v>
      </c>
      <c r="F102" s="17" t="s">
        <v>490</v>
      </c>
      <c r="G102" s="35" t="s">
        <v>2031</v>
      </c>
      <c r="H102" s="4"/>
    </row>
    <row r="103" spans="1:8" ht="15.95" customHeight="1">
      <c r="A103" s="3">
        <v>99</v>
      </c>
      <c r="B103" s="17" t="str">
        <f>HYPERLINK("https://kgenetics.or.kr/","Korean Society of Genetics")</f>
        <v>Korean Society of Genetics</v>
      </c>
      <c r="C103" s="4" t="s">
        <v>15</v>
      </c>
      <c r="D103" s="4" t="s">
        <v>344</v>
      </c>
      <c r="E103" s="4" t="s">
        <v>344</v>
      </c>
      <c r="F103" s="17" t="s">
        <v>1778</v>
      </c>
      <c r="G103" s="35" t="s">
        <v>2030</v>
      </c>
      <c r="H103" s="4"/>
    </row>
    <row r="104" spans="1:8" ht="15.95" customHeight="1">
      <c r="A104" s="3">
        <v>100</v>
      </c>
      <c r="B104" s="17" t="str">
        <f>HYPERLINK("http://www.ksmg.or.kr/html/","Korean Society of Medical Genetics and Genomics")</f>
        <v>Korean Society of Medical Genetics and Genomics</v>
      </c>
      <c r="C104" s="4" t="s">
        <v>15</v>
      </c>
      <c r="D104" s="4" t="s">
        <v>344</v>
      </c>
      <c r="E104" s="4" t="s">
        <v>344</v>
      </c>
      <c r="F104" s="17" t="s">
        <v>1847</v>
      </c>
      <c r="G104" s="35" t="s">
        <v>2030</v>
      </c>
      <c r="H104" s="4"/>
    </row>
    <row r="105" spans="1:8" ht="15.95" customHeight="1">
      <c r="A105" s="3">
        <v>101</v>
      </c>
      <c r="B105" s="17" t="str">
        <f>HYPERLINK("https://aegh.org/","Spanish Association of Human Genetics (AEGH)")</f>
        <v>Spanish Association of Human Genetics (AEGH)</v>
      </c>
      <c r="C105" s="4" t="s">
        <v>15</v>
      </c>
      <c r="D105" s="4" t="s">
        <v>107</v>
      </c>
      <c r="E105" s="4" t="s">
        <v>107</v>
      </c>
      <c r="F105" s="17" t="s">
        <v>1768</v>
      </c>
      <c r="G105" s="35" t="s">
        <v>2030</v>
      </c>
      <c r="H105" s="4"/>
    </row>
    <row r="106" spans="1:8" ht="15.95" customHeight="1">
      <c r="A106" s="3">
        <v>102</v>
      </c>
      <c r="B106" s="17" t="str">
        <f>HYPERLINK("https://www.seaic.org/","Spanish Society of Allergology and Clinical Immunology (SEAIC)")</f>
        <v>Spanish Society of Allergology and Clinical Immunology (SEAIC)</v>
      </c>
      <c r="C106" s="4" t="s">
        <v>15</v>
      </c>
      <c r="D106" s="4" t="s">
        <v>107</v>
      </c>
      <c r="E106" s="4" t="s">
        <v>107</v>
      </c>
      <c r="F106" s="17" t="s">
        <v>457</v>
      </c>
      <c r="G106" s="35">
        <v>3</v>
      </c>
      <c r="H106" s="4"/>
    </row>
    <row r="107" spans="1:8" ht="15.95" customHeight="1">
      <c r="A107" s="3">
        <v>103</v>
      </c>
      <c r="B107" s="17" t="str">
        <f>HYPERLINK("https://segcd.org/","Spanish Society of Clinical Genetics and Dysmorphology (SEGCD)")</f>
        <v>Spanish Society of Clinical Genetics and Dysmorphology (SEGCD)</v>
      </c>
      <c r="C107" s="4" t="s">
        <v>15</v>
      </c>
      <c r="D107" s="4" t="s">
        <v>107</v>
      </c>
      <c r="E107" s="4" t="s">
        <v>107</v>
      </c>
      <c r="F107" s="17" t="s">
        <v>1772</v>
      </c>
      <c r="G107" s="35" t="s">
        <v>2030</v>
      </c>
      <c r="H107" s="4"/>
    </row>
    <row r="108" spans="1:8" ht="15.95" customHeight="1">
      <c r="A108" s="3">
        <v>104</v>
      </c>
      <c r="B108" s="17" t="str">
        <f>HYPERLINK("https://seicap.es/","Spanish Society of Clinical Immunology, Allergology and Pediatric Asthma (SEICAP)")</f>
        <v>Spanish Society of Clinical Immunology, Allergology and Pediatric Asthma (SEICAP)</v>
      </c>
      <c r="C108" s="4" t="s">
        <v>15</v>
      </c>
      <c r="D108" s="4" t="s">
        <v>107</v>
      </c>
      <c r="E108" s="4" t="s">
        <v>107</v>
      </c>
      <c r="F108" s="17" t="s">
        <v>459</v>
      </c>
      <c r="G108" s="35">
        <v>3</v>
      </c>
      <c r="H108" s="4"/>
    </row>
    <row r="109" spans="1:8" ht="15.95" customHeight="1">
      <c r="A109" s="3">
        <v>105</v>
      </c>
      <c r="B109" s="17" t="str">
        <f>HYPERLINK("https://seagen.org/","Spanish Society of Genetic Counseling (SEAGen)")</f>
        <v>Spanish Society of Genetic Counseling (SEAGen)</v>
      </c>
      <c r="C109" s="4" t="s">
        <v>15</v>
      </c>
      <c r="D109" s="4" t="s">
        <v>107</v>
      </c>
      <c r="E109" s="4" t="s">
        <v>107</v>
      </c>
      <c r="F109" s="17" t="s">
        <v>1770</v>
      </c>
      <c r="G109" s="35" t="s">
        <v>2030</v>
      </c>
      <c r="H109" s="4"/>
    </row>
    <row r="110" spans="1:8" ht="15.95" customHeight="1">
      <c r="A110" s="3">
        <v>106</v>
      </c>
      <c r="B110" s="17" t="str">
        <f>HYPERLINK("https://segenetica.es/","Spanish Society of Genetics (SEG)")</f>
        <v>Spanish Society of Genetics (SEG)</v>
      </c>
      <c r="C110" s="4" t="s">
        <v>15</v>
      </c>
      <c r="D110" s="4" t="s">
        <v>107</v>
      </c>
      <c r="E110" s="4" t="s">
        <v>107</v>
      </c>
      <c r="F110" s="17" t="s">
        <v>1774</v>
      </c>
      <c r="G110" s="35" t="s">
        <v>2030</v>
      </c>
      <c r="H110" s="4"/>
    </row>
    <row r="111" spans="1:8" ht="15.95" customHeight="1">
      <c r="A111" s="3">
        <v>107</v>
      </c>
      <c r="B111" s="17" t="str">
        <f>HYPERLINK("https://www.inmunologia.org/","Spanish Society of Immunology (SEI)")</f>
        <v>Spanish Society of Immunology (SEI)</v>
      </c>
      <c r="C111" s="4" t="s">
        <v>15</v>
      </c>
      <c r="D111" s="4" t="s">
        <v>107</v>
      </c>
      <c r="E111" s="4" t="s">
        <v>107</v>
      </c>
      <c r="F111" s="17" t="s">
        <v>409</v>
      </c>
      <c r="G111" s="35">
        <v>3</v>
      </c>
      <c r="H111" s="4"/>
    </row>
    <row r="112" spans="1:8" ht="15.95" customHeight="1">
      <c r="A112" s="3">
        <v>108</v>
      </c>
      <c r="B112" s="17" t="str">
        <f>HYPERLINK("https://www.turkimmunoloji.org/","The Turkish Immunology Association")</f>
        <v>The Turkish Immunology Association</v>
      </c>
      <c r="C112" s="4" t="s">
        <v>15</v>
      </c>
      <c r="D112" s="4" t="s">
        <v>2043</v>
      </c>
      <c r="E112" s="4" t="s">
        <v>2043</v>
      </c>
      <c r="F112" s="17" t="s">
        <v>411</v>
      </c>
      <c r="G112" s="35">
        <v>3</v>
      </c>
      <c r="H112" s="4"/>
    </row>
    <row r="113" spans="1:8" ht="15.95" customHeight="1">
      <c r="A113" s="3">
        <v>109</v>
      </c>
      <c r="B113" s="17" t="str">
        <f>HYPERLINK("https://klinikimmunolojidernegi.org.tr/","Turkish Clinical Immunology Society")</f>
        <v>Turkish Clinical Immunology Society</v>
      </c>
      <c r="C113" s="4" t="s">
        <v>15</v>
      </c>
      <c r="D113" s="4" t="s">
        <v>2043</v>
      </c>
      <c r="E113" s="4" t="s">
        <v>2043</v>
      </c>
      <c r="F113" s="17" t="s">
        <v>413</v>
      </c>
      <c r="G113" s="35">
        <v>3</v>
      </c>
      <c r="H113" s="4"/>
    </row>
    <row r="114" spans="1:8" ht="15.95" customHeight="1">
      <c r="A114" s="3">
        <v>110</v>
      </c>
      <c r="B114" s="17" t="str">
        <f>HYPERLINK("https://www.aid.org.tr/","Turkish National Society of Allergy and Clinical Immunology")</f>
        <v>Turkish National Society of Allergy and Clinical Immunology</v>
      </c>
      <c r="C114" s="4" t="s">
        <v>15</v>
      </c>
      <c r="D114" s="4" t="s">
        <v>2043</v>
      </c>
      <c r="E114" s="4" t="s">
        <v>2043</v>
      </c>
      <c r="F114" s="17" t="s">
        <v>461</v>
      </c>
      <c r="G114" s="35">
        <v>3</v>
      </c>
      <c r="H114" s="4"/>
    </row>
    <row r="115" spans="1:8" ht="15.95" customHeight="1">
      <c r="A115" s="3">
        <v>111</v>
      </c>
      <c r="B115" s="17" t="str">
        <f>HYPERLINK("https://www.tibbigenetik.org.tr/","Turkish Society of Medical Genetics")</f>
        <v>Turkish Society of Medical Genetics</v>
      </c>
      <c r="C115" s="4" t="s">
        <v>15</v>
      </c>
      <c r="D115" s="4" t="s">
        <v>2043</v>
      </c>
      <c r="E115" s="4" t="s">
        <v>2043</v>
      </c>
      <c r="F115" s="17" t="s">
        <v>1766</v>
      </c>
      <c r="G115" s="35" t="s">
        <v>2030</v>
      </c>
      <c r="H115" s="4"/>
    </row>
    <row r="116" spans="1:8" ht="15.95" customHeight="1">
      <c r="A116" s="3">
        <v>112</v>
      </c>
      <c r="B116" s="17" t="str">
        <f>HYPERLINK("https://www.bsaci.org/","British Society for Allergy &amp; Clinical Immunology")</f>
        <v>British Society for Allergy &amp; Clinical Immunology</v>
      </c>
      <c r="C116" s="4" t="s">
        <v>15</v>
      </c>
      <c r="D116" s="4" t="s">
        <v>17</v>
      </c>
      <c r="E116" s="4" t="s">
        <v>17</v>
      </c>
      <c r="F116" s="17" t="s">
        <v>463</v>
      </c>
      <c r="G116" s="35">
        <v>3</v>
      </c>
      <c r="H116" s="4"/>
    </row>
    <row r="117" spans="1:8" ht="15.95" customHeight="1">
      <c r="A117" s="3">
        <v>113</v>
      </c>
      <c r="B117" s="17" t="str">
        <f>HYPERLINK("https://www.bsgct.org/","British Society for Gene and Cell Therapy")</f>
        <v>British Society for Gene and Cell Therapy</v>
      </c>
      <c r="C117" s="4" t="s">
        <v>15</v>
      </c>
      <c r="D117" s="4" t="s">
        <v>17</v>
      </c>
      <c r="E117" s="4" t="s">
        <v>24</v>
      </c>
      <c r="F117" s="17" t="s">
        <v>1802</v>
      </c>
      <c r="G117" s="35" t="s">
        <v>2030</v>
      </c>
      <c r="H117" s="4"/>
    </row>
    <row r="118" spans="1:8" ht="15.95" customHeight="1">
      <c r="A118" s="3">
        <v>114</v>
      </c>
      <c r="B118" s="17" t="str">
        <f>HYPERLINK("https://bsgm.org.uk/","British Society for Genetic Medicine")</f>
        <v>British Society for Genetic Medicine</v>
      </c>
      <c r="C118" s="4" t="s">
        <v>15</v>
      </c>
      <c r="D118" s="4" t="s">
        <v>17</v>
      </c>
      <c r="E118" s="4" t="s">
        <v>17</v>
      </c>
      <c r="F118" s="17" t="s">
        <v>1759</v>
      </c>
      <c r="G118" s="35" t="s">
        <v>2030</v>
      </c>
      <c r="H118" s="4"/>
    </row>
    <row r="119" spans="1:8" ht="15.95" customHeight="1">
      <c r="A119" s="3">
        <v>115</v>
      </c>
      <c r="B119" s="17" t="str">
        <f>HYPERLINK("https://bshi.org.uk/","British Society for Histocompatibility &amp; Immunogenetics")</f>
        <v>British Society for Histocompatibility &amp; Immunogenetics</v>
      </c>
      <c r="C119" s="4" t="s">
        <v>15</v>
      </c>
      <c r="D119" s="4" t="s">
        <v>17</v>
      </c>
      <c r="E119" s="4" t="s">
        <v>17</v>
      </c>
      <c r="F119" s="17" t="s">
        <v>415</v>
      </c>
      <c r="G119" s="35">
        <v>3</v>
      </c>
      <c r="H119" s="4"/>
    </row>
    <row r="120" spans="1:8" ht="15.95" customHeight="1">
      <c r="A120" s="3">
        <v>116</v>
      </c>
      <c r="B120" s="17" t="str">
        <f>HYPERLINK("https://www.immunology.org","British Society for Immunology")</f>
        <v>British Society for Immunology</v>
      </c>
      <c r="C120" s="4" t="s">
        <v>15</v>
      </c>
      <c r="D120" s="4" t="s">
        <v>17</v>
      </c>
      <c r="E120" s="4" t="s">
        <v>17</v>
      </c>
      <c r="F120" s="17" t="s">
        <v>417</v>
      </c>
      <c r="G120" s="35">
        <v>3</v>
      </c>
      <c r="H120" s="4"/>
    </row>
    <row r="121" spans="1:8" ht="15.95" customHeight="1">
      <c r="A121" s="3">
        <v>117</v>
      </c>
      <c r="B121" s="17" t="str">
        <f>HYPERLINK("https://www.clingensoc.org/","Clinical Genetics Society")</f>
        <v>Clinical Genetics Society</v>
      </c>
      <c r="C121" s="4" t="s">
        <v>15</v>
      </c>
      <c r="D121" s="4" t="s">
        <v>17</v>
      </c>
      <c r="E121" s="4" t="s">
        <v>17</v>
      </c>
      <c r="F121" s="17" t="s">
        <v>1755</v>
      </c>
      <c r="G121" s="35" t="s">
        <v>2030</v>
      </c>
      <c r="H121" s="4"/>
    </row>
    <row r="122" spans="1:8" ht="15.95" customHeight="1">
      <c r="A122" s="3">
        <v>118</v>
      </c>
      <c r="B122" s="17" t="str">
        <f>HYPERLINK("https://genetics.org.uk/","Genetics Society")</f>
        <v>Genetics Society</v>
      </c>
      <c r="C122" s="4" t="s">
        <v>15</v>
      </c>
      <c r="D122" s="4" t="s">
        <v>17</v>
      </c>
      <c r="E122" s="4" t="s">
        <v>17</v>
      </c>
      <c r="F122" s="17" t="s">
        <v>1761</v>
      </c>
      <c r="G122" s="35" t="s">
        <v>2030</v>
      </c>
      <c r="H122" s="4"/>
    </row>
    <row r="123" spans="1:8" ht="15.95" customHeight="1">
      <c r="A123" s="3">
        <v>119</v>
      </c>
      <c r="B123" s="17" t="str">
        <f>HYPERLINK("https://rd-research.org.uk/","Rare Disease Research UK")</f>
        <v>Rare Disease Research UK</v>
      </c>
      <c r="C123" s="4" t="s">
        <v>15</v>
      </c>
      <c r="D123" s="4" t="s">
        <v>17</v>
      </c>
      <c r="E123" s="4" t="s">
        <v>17</v>
      </c>
      <c r="F123" s="17" t="s">
        <v>492</v>
      </c>
      <c r="G123" s="35" t="s">
        <v>2031</v>
      </c>
      <c r="H123" s="4"/>
    </row>
    <row r="124" spans="1:8" ht="15.95" customHeight="1">
      <c r="A124" s="3">
        <v>120</v>
      </c>
      <c r="B124" s="17" t="str">
        <f>HYPERLINK("https://www.aaaai.org/","American Academy of Allergy, Asthma, and Immunology")</f>
        <v>American Academy of Allergy, Asthma, and Immunology</v>
      </c>
      <c r="C124" s="4" t="s">
        <v>15</v>
      </c>
      <c r="D124" s="4" t="s">
        <v>18</v>
      </c>
      <c r="E124" s="4" t="s">
        <v>18</v>
      </c>
      <c r="F124" s="17" t="s">
        <v>465</v>
      </c>
      <c r="G124" s="35">
        <v>3</v>
      </c>
      <c r="H124" s="4"/>
    </row>
    <row r="125" spans="1:8" ht="15.95" customHeight="1">
      <c r="A125" s="3">
        <v>121</v>
      </c>
      <c r="B125" s="17" t="str">
        <f>HYPERLINK("https://www.aai.org/","American Association of Immunologists")</f>
        <v>American Association of Immunologists</v>
      </c>
      <c r="C125" s="4" t="s">
        <v>15</v>
      </c>
      <c r="D125" s="4" t="s">
        <v>18</v>
      </c>
      <c r="E125" s="4" t="s">
        <v>18</v>
      </c>
      <c r="F125" s="17" t="s">
        <v>419</v>
      </c>
      <c r="G125" s="35">
        <v>3</v>
      </c>
      <c r="H125" s="4"/>
    </row>
    <row r="126" spans="1:8" ht="15.95" customHeight="1">
      <c r="A126" s="3">
        <v>122</v>
      </c>
      <c r="B126" s="17" t="str">
        <f>HYPERLINK("https://acaai.org/","American College of Allergy, Asthma and Immunology")</f>
        <v>American College of Allergy, Asthma and Immunology</v>
      </c>
      <c r="C126" s="4" t="s">
        <v>15</v>
      </c>
      <c r="D126" s="4" t="s">
        <v>18</v>
      </c>
      <c r="E126" s="4" t="s">
        <v>18</v>
      </c>
      <c r="F126" s="17" t="s">
        <v>466</v>
      </c>
      <c r="G126" s="35">
        <v>3</v>
      </c>
      <c r="H126" s="4"/>
    </row>
    <row r="127" spans="1:8" ht="15.95" customHeight="1">
      <c r="A127" s="3">
        <v>123</v>
      </c>
      <c r="B127" s="17" t="str">
        <f>HYPERLINK("https://www.acmg.net/","American College of Medical Genetics")</f>
        <v>American College of Medical Genetics</v>
      </c>
      <c r="C127" s="4" t="s">
        <v>15</v>
      </c>
      <c r="D127" s="4" t="s">
        <v>18</v>
      </c>
      <c r="E127" s="4" t="s">
        <v>18</v>
      </c>
      <c r="F127" s="17" t="s">
        <v>1797</v>
      </c>
      <c r="G127" s="35" t="s">
        <v>2030</v>
      </c>
      <c r="H127" s="4"/>
    </row>
    <row r="128" spans="1:8" ht="15.95" customHeight="1">
      <c r="A128" s="3">
        <v>124</v>
      </c>
      <c r="B128" s="17" t="str">
        <f>HYPERLINK("https://www.ashi-hla.org/","American Society for Histocompatibility and Immunogenetics")</f>
        <v>American Society for Histocompatibility and Immunogenetics</v>
      </c>
      <c r="C128" s="4" t="s">
        <v>15</v>
      </c>
      <c r="D128" s="4" t="s">
        <v>18</v>
      </c>
      <c r="E128" s="4" t="s">
        <v>18</v>
      </c>
      <c r="F128" s="17" t="s">
        <v>421</v>
      </c>
      <c r="G128" s="35">
        <v>3</v>
      </c>
      <c r="H128" s="4"/>
    </row>
    <row r="129" spans="1:8" ht="15.95" customHeight="1">
      <c r="A129" s="3">
        <v>125</v>
      </c>
      <c r="B129" s="17" t="str">
        <f>HYPERLINK("https://www.asgct.org/","American Society of Gene &amp; Cell Therapy")</f>
        <v>American Society of Gene &amp; Cell Therapy</v>
      </c>
      <c r="C129" s="4" t="s">
        <v>15</v>
      </c>
      <c r="D129" s="4" t="s">
        <v>18</v>
      </c>
      <c r="E129" s="4" t="s">
        <v>18</v>
      </c>
      <c r="F129" s="17" t="s">
        <v>1757</v>
      </c>
      <c r="G129" s="35" t="s">
        <v>2030</v>
      </c>
      <c r="H129" s="4"/>
    </row>
    <row r="130" spans="1:8" ht="15.95" customHeight="1">
      <c r="A130" s="3">
        <v>126</v>
      </c>
      <c r="B130" s="17" t="str">
        <f>HYPERLINK("https://www.ashg.org/","American Society of Human Genetics")</f>
        <v>American Society of Human Genetics</v>
      </c>
      <c r="C130" s="4" t="s">
        <v>15</v>
      </c>
      <c r="D130" s="4" t="s">
        <v>18</v>
      </c>
      <c r="E130" s="4" t="s">
        <v>18</v>
      </c>
      <c r="F130" s="17" t="s">
        <v>1754</v>
      </c>
      <c r="G130" s="35" t="s">
        <v>2030</v>
      </c>
      <c r="H130" s="4"/>
    </row>
    <row r="131" spans="1:8" ht="15.95" customHeight="1">
      <c r="A131" s="3">
        <v>127</v>
      </c>
      <c r="B131" s="17" t="str">
        <f>HYPERLINK("https://agt-info.org/","Association of Genetic Technologists")</f>
        <v>Association of Genetic Technologists</v>
      </c>
      <c r="C131" s="4" t="s">
        <v>15</v>
      </c>
      <c r="D131" s="4" t="s">
        <v>18</v>
      </c>
      <c r="E131" s="4" t="s">
        <v>18</v>
      </c>
      <c r="F131" s="17" t="s">
        <v>1853</v>
      </c>
      <c r="G131" s="35" t="s">
        <v>2030</v>
      </c>
      <c r="H131" s="4"/>
    </row>
    <row r="132" spans="1:8" ht="15.95" customHeight="1">
      <c r="A132" s="3">
        <v>128</v>
      </c>
      <c r="B132" s="17" t="str">
        <f>HYPERLINK("https://www.geneticsandsociety.org/","Center For Genetics And Society")</f>
        <v>Center For Genetics And Society</v>
      </c>
      <c r="C132" s="4" t="s">
        <v>15</v>
      </c>
      <c r="D132" s="4" t="s">
        <v>18</v>
      </c>
      <c r="E132" s="4" t="s">
        <v>18</v>
      </c>
      <c r="F132" s="17" t="s">
        <v>1800</v>
      </c>
      <c r="G132" s="35" t="s">
        <v>2030</v>
      </c>
      <c r="H132" s="4"/>
    </row>
    <row r="133" spans="1:8" ht="15.95" customHeight="1">
      <c r="A133" s="3">
        <v>129</v>
      </c>
      <c r="B133" s="17" t="str">
        <f>HYPERLINK("https://www.childrenraredisease.org/","Childrens Rare Disease Organization")</f>
        <v>Childrens Rare Disease Organization</v>
      </c>
      <c r="C133" s="4" t="s">
        <v>15</v>
      </c>
      <c r="D133" s="4" t="s">
        <v>18</v>
      </c>
      <c r="E133" s="4" t="s">
        <v>18</v>
      </c>
      <c r="F133" s="17" t="s">
        <v>493</v>
      </c>
      <c r="G133" s="35" t="s">
        <v>2031</v>
      </c>
      <c r="H133" s="4"/>
    </row>
    <row r="134" spans="1:8" ht="15.95" customHeight="1">
      <c r="A134" s="3">
        <v>130</v>
      </c>
      <c r="B134" s="17" t="str">
        <f>HYPERLINK("https://clinimmsoc.org/","Clinical Immunology Society")</f>
        <v>Clinical Immunology Society</v>
      </c>
      <c r="C134" s="4" t="s">
        <v>15</v>
      </c>
      <c r="D134" s="4" t="s">
        <v>18</v>
      </c>
      <c r="E134" s="4" t="s">
        <v>18</v>
      </c>
      <c r="F134" s="17" t="s">
        <v>423</v>
      </c>
      <c r="G134" s="35">
        <v>3</v>
      </c>
      <c r="H134" s="4"/>
    </row>
    <row r="135" spans="1:8" ht="15.95" customHeight="1">
      <c r="A135" s="3">
        <v>131</v>
      </c>
      <c r="B135" s="17" t="str">
        <f>HYPERLINK("https://genetics-gsa.org/","Genetics Society of America")</f>
        <v>Genetics Society of America</v>
      </c>
      <c r="C135" s="4" t="s">
        <v>15</v>
      </c>
      <c r="D135" s="4" t="s">
        <v>18</v>
      </c>
      <c r="E135" s="4" t="s">
        <v>18</v>
      </c>
      <c r="F135" s="17" t="s">
        <v>1752</v>
      </c>
      <c r="G135" s="35" t="s">
        <v>2030</v>
      </c>
      <c r="H135" s="4"/>
    </row>
    <row r="136" spans="1:8" ht="15.95" customHeight="1">
      <c r="A136" s="3">
        <v>132</v>
      </c>
      <c r="B136" s="17" t="str">
        <f>HYPERLINK("https://www.jewishgeneticdiseases.org/","Jewish Genetic Disease Consortium")</f>
        <v>Jewish Genetic Disease Consortium</v>
      </c>
      <c r="C136" s="4" t="s">
        <v>15</v>
      </c>
      <c r="D136" s="4" t="s">
        <v>18</v>
      </c>
      <c r="E136" s="4" t="s">
        <v>18</v>
      </c>
      <c r="F136" s="17" t="s">
        <v>1750</v>
      </c>
      <c r="G136" s="35" t="s">
        <v>2030</v>
      </c>
      <c r="H136" s="4"/>
    </row>
    <row r="137" spans="1:8" ht="15.95" customHeight="1">
      <c r="A137" s="3">
        <v>133</v>
      </c>
      <c r="B137" s="17" t="str">
        <f>HYPERLINK("https://www.nsgc.org/","National Society of Genetic Counselors")</f>
        <v>National Society of Genetic Counselors</v>
      </c>
      <c r="C137" s="4" t="s">
        <v>15</v>
      </c>
      <c r="D137" s="4" t="s">
        <v>18</v>
      </c>
      <c r="E137" s="4" t="s">
        <v>18</v>
      </c>
      <c r="F137" s="17" t="s">
        <v>1799</v>
      </c>
      <c r="G137" s="35" t="s">
        <v>2030</v>
      </c>
      <c r="H137" s="4"/>
    </row>
    <row r="138" spans="1:8" ht="15.95" customHeight="1">
      <c r="A138" s="3">
        <v>134</v>
      </c>
      <c r="B138" s="17" t="str">
        <f>HYPERLINK("https://pidtc.rarediseasesnetwork.org/","Primary Immune Deficiency Treatment Consortium (PIDTC)")</f>
        <v>Primary Immune Deficiency Treatment Consortium (PIDTC)</v>
      </c>
      <c r="C138" s="4" t="s">
        <v>15</v>
      </c>
      <c r="D138" s="4" t="s">
        <v>18</v>
      </c>
      <c r="E138" s="4" t="s">
        <v>18</v>
      </c>
      <c r="F138" s="17" t="s">
        <v>367</v>
      </c>
      <c r="G138" s="35">
        <v>1</v>
      </c>
      <c r="H138" s="4"/>
    </row>
    <row r="139" spans="1:8" ht="15.95" customHeight="1">
      <c r="A139" s="3">
        <v>135</v>
      </c>
      <c r="B139" s="17" t="str">
        <f>HYPERLINK("https://www.rarediseasesnetwork.org/","Rare Diseases Clinical Research Network")</f>
        <v>Rare Diseases Clinical Research Network</v>
      </c>
      <c r="C139" s="4" t="s">
        <v>15</v>
      </c>
      <c r="D139" s="4" t="s">
        <v>18</v>
      </c>
      <c r="E139" s="4" t="s">
        <v>18</v>
      </c>
      <c r="F139" s="17" t="s">
        <v>494</v>
      </c>
      <c r="G139" s="35" t="s">
        <v>2031</v>
      </c>
      <c r="H139" s="4"/>
    </row>
    <row r="140" spans="1:8" ht="15.95" customHeight="1">
      <c r="A140" s="3">
        <v>136</v>
      </c>
      <c r="B140" s="17" t="str">
        <f>HYPERLINK("https://www.abai.org/","The American Board of Allergy and Immunology")</f>
        <v>The American Board of Allergy and Immunology</v>
      </c>
      <c r="C140" s="4" t="s">
        <v>15</v>
      </c>
      <c r="D140" s="4" t="s">
        <v>18</v>
      </c>
      <c r="E140" s="4" t="s">
        <v>18</v>
      </c>
      <c r="F140" s="17" t="s">
        <v>467</v>
      </c>
      <c r="G140" s="35">
        <v>3</v>
      </c>
      <c r="H140" s="4"/>
    </row>
    <row r="141" spans="1:8" ht="15.95" customHeight="1">
      <c r="A141" s="3">
        <v>137</v>
      </c>
      <c r="B141" s="17" t="str">
        <f>HYPERLINK("https://www.thecrdfund.org/","The Children's Rare Disorders Fund")</f>
        <v>The Children's Rare Disorders Fund</v>
      </c>
      <c r="C141" s="4" t="s">
        <v>15</v>
      </c>
      <c r="D141" s="4" t="s">
        <v>18</v>
      </c>
      <c r="E141" s="4" t="s">
        <v>18</v>
      </c>
      <c r="F141" s="17" t="s">
        <v>495</v>
      </c>
      <c r="G141" s="35" t="s">
        <v>2031</v>
      </c>
      <c r="H141" s="4"/>
    </row>
    <row r="142" spans="1:8" ht="15.95" customHeight="1">
      <c r="A142" s="3">
        <v>138</v>
      </c>
      <c r="B142" s="17" t="str">
        <f>HYPERLINK("https://usidnet.org/","United States Immunodeficiency Network (USIDNET)")</f>
        <v>United States Immunodeficiency Network (USIDNET)</v>
      </c>
      <c r="C142" s="4" t="s">
        <v>15</v>
      </c>
      <c r="D142" s="4" t="s">
        <v>18</v>
      </c>
      <c r="E142" s="4" t="s">
        <v>18</v>
      </c>
      <c r="F142" s="17" t="s">
        <v>368</v>
      </c>
      <c r="G142" s="35">
        <v>2</v>
      </c>
      <c r="H142" s="4"/>
    </row>
    <row r="143" spans="1:8" ht="15.95" customHeight="1">
      <c r="A143" s="3">
        <v>139</v>
      </c>
      <c r="B143" s="17" t="str">
        <f>HYPERLINK("https://wsaai.org/","Western Society of Allergy, Asthma and Immunology")</f>
        <v>Western Society of Allergy, Asthma and Immunology</v>
      </c>
      <c r="C143" s="4" t="s">
        <v>15</v>
      </c>
      <c r="D143" s="4" t="s">
        <v>18</v>
      </c>
      <c r="E143" s="4" t="s">
        <v>18</v>
      </c>
      <c r="F143" s="17" t="s">
        <v>469</v>
      </c>
      <c r="G143" s="35">
        <v>3</v>
      </c>
      <c r="H143" s="4"/>
    </row>
  </sheetData>
  <autoFilter ref="A4:H4"/>
  <sortState ref="A5:H145">
    <sortCondition ref="C5:C145" customList="International,Regional,National"/>
    <sortCondition ref="D5:D145"/>
    <sortCondition ref="B5:B145"/>
  </sortState>
  <mergeCells count="2">
    <mergeCell ref="A1:H1"/>
    <mergeCell ref="A2:H3"/>
  </mergeCells>
  <hyperlinks>
    <hyperlink ref="F17" r:id="rId1"/>
    <hyperlink ref="F72" r:id="rId2"/>
    <hyperlink ref="F138" r:id="rId3"/>
    <hyperlink ref="F142" r:id="rId4"/>
    <hyperlink ref="F13" r:id="rId5"/>
    <hyperlink ref="F19" r:id="rId6"/>
    <hyperlink ref="F50" r:id="rId7"/>
    <hyperlink ref="F67" r:id="rId8"/>
    <hyperlink ref="F62" r:id="rId9"/>
    <hyperlink ref="F81" r:id="rId10"/>
    <hyperlink ref="F89" r:id="rId11"/>
    <hyperlink ref="F32" r:id="rId12"/>
    <hyperlink ref="F35" r:id="rId13"/>
    <hyperlink ref="F5" r:id="rId14"/>
    <hyperlink ref="F16" r:id="rId15"/>
    <hyperlink ref="F40" r:id="rId16"/>
    <hyperlink ref="F45" r:id="rId17"/>
    <hyperlink ref="F53" r:id="rId18"/>
    <hyperlink ref="F56" r:id="rId19"/>
    <hyperlink ref="F59" r:id="rId20"/>
    <hyperlink ref="F66" r:id="rId21"/>
    <hyperlink ref="F75" r:id="rId22"/>
    <hyperlink ref="F78" r:id="rId23"/>
    <hyperlink ref="F90" r:id="rId24"/>
    <hyperlink ref="F92" r:id="rId25"/>
    <hyperlink ref="F100" r:id="rId26"/>
    <hyperlink ref="F111" r:id="rId27"/>
    <hyperlink ref="F112" r:id="rId28"/>
    <hyperlink ref="F113" r:id="rId29"/>
    <hyperlink ref="F119" r:id="rId30"/>
    <hyperlink ref="F120" r:id="rId31" display="https://www.immunology.org/"/>
    <hyperlink ref="F125" r:id="rId32"/>
    <hyperlink ref="F128" r:id="rId33"/>
    <hyperlink ref="F134" r:id="rId34"/>
    <hyperlink ref="F24" r:id="rId35"/>
    <hyperlink ref="F28" r:id="rId36"/>
    <hyperlink ref="F29" r:id="rId37"/>
    <hyperlink ref="F37" r:id="rId38"/>
    <hyperlink ref="F38" r:id="rId39"/>
    <hyperlink ref="F43" r:id="rId40"/>
    <hyperlink ref="F49" r:id="rId41"/>
    <hyperlink ref="F60" r:id="rId42"/>
    <hyperlink ref="F64" r:id="rId43"/>
    <hyperlink ref="F77" r:id="rId44"/>
    <hyperlink ref="F82" r:id="rId45"/>
    <hyperlink ref="F84" r:id="rId46"/>
    <hyperlink ref="F91" r:id="rId47"/>
    <hyperlink ref="F94" r:id="rId48"/>
    <hyperlink ref="F99" r:id="rId49"/>
    <hyperlink ref="F106" r:id="rId50"/>
    <hyperlink ref="F108" r:id="rId51"/>
    <hyperlink ref="F114" r:id="rId52"/>
    <hyperlink ref="F116" r:id="rId53"/>
    <hyperlink ref="F124" r:id="rId54"/>
    <hyperlink ref="F126" r:id="rId55"/>
    <hyperlink ref="F140" r:id="rId56"/>
    <hyperlink ref="F143" r:id="rId57"/>
    <hyperlink ref="F21" r:id="rId58"/>
    <hyperlink ref="F26" r:id="rId59"/>
    <hyperlink ref="F36" r:id="rId60"/>
    <hyperlink ref="F18" r:id="rId61"/>
    <hyperlink ref="F7" r:id="rId62"/>
    <hyperlink ref="F11" r:id="rId63"/>
    <hyperlink ref="F14" r:id="rId64"/>
    <hyperlink ref="F51" r:id="rId65"/>
    <hyperlink ref="F63" r:id="rId66"/>
    <hyperlink ref="F68" r:id="rId67"/>
    <hyperlink ref="F69" r:id="rId68"/>
    <hyperlink ref="F76" r:id="rId69"/>
    <hyperlink ref="F98" r:id="rId70"/>
    <hyperlink ref="F102" r:id="rId71"/>
    <hyperlink ref="F123" r:id="rId72"/>
    <hyperlink ref="F133" r:id="rId73"/>
    <hyperlink ref="F139" r:id="rId74"/>
    <hyperlink ref="F141" r:id="rId75"/>
    <hyperlink ref="F30" r:id="rId76"/>
    <hyperlink ref="F31" r:id="rId77"/>
    <hyperlink ref="F80" r:id="rId78"/>
    <hyperlink ref="F136" r:id="rId79"/>
    <hyperlink ref="F135" r:id="rId80"/>
    <hyperlink ref="F130" r:id="rId81"/>
    <hyperlink ref="F121" r:id="rId82"/>
    <hyperlink ref="F129" r:id="rId83"/>
    <hyperlink ref="F118" r:id="rId84"/>
    <hyperlink ref="F122" r:id="rId85"/>
    <hyperlink ref="F33" r:id="rId86"/>
    <hyperlink ref="F115" r:id="rId87"/>
    <hyperlink ref="F105" r:id="rId88"/>
    <hyperlink ref="F109" r:id="rId89"/>
    <hyperlink ref="F107" r:id="rId90"/>
    <hyperlink ref="F110" r:id="rId91"/>
    <hyperlink ref="F101" r:id="rId92"/>
    <hyperlink ref="F103" r:id="rId93"/>
    <hyperlink ref="F87" r:id="rId94"/>
    <hyperlink ref="F88" r:id="rId95"/>
    <hyperlink ref="F93" r:id="rId96"/>
    <hyperlink ref="F85" r:id="rId97"/>
    <hyperlink ref="F86" r:id="rId98"/>
    <hyperlink ref="F73" r:id="rId99"/>
    <hyperlink ref="F65" r:id="rId100"/>
    <hyperlink ref="F61" r:id="rId101"/>
    <hyperlink ref="F57" r:id="rId102"/>
    <hyperlink ref="F58" r:id="rId103"/>
    <hyperlink ref="F127" r:id="rId104"/>
    <hyperlink ref="F137" r:id="rId105"/>
    <hyperlink ref="F132" r:id="rId106"/>
    <hyperlink ref="F117" r:id="rId107"/>
    <hyperlink ref="F79" r:id="rId108"/>
    <hyperlink ref="F83" r:id="rId109"/>
    <hyperlink ref="F97" r:id="rId110"/>
    <hyperlink ref="F39" r:id="rId111"/>
    <hyperlink ref="F54" r:id="rId112"/>
    <hyperlink ref="F55" r:id="rId113"/>
    <hyperlink ref="F15" r:id="rId114"/>
    <hyperlink ref="F95" r:id="rId115"/>
    <hyperlink ref="F10" r:id="rId116"/>
    <hyperlink ref="F46" r:id="rId117"/>
    <hyperlink ref="F48" r:id="rId118"/>
    <hyperlink ref="F47" r:id="rId119"/>
    <hyperlink ref="F41" r:id="rId120"/>
    <hyperlink ref="F44" r:id="rId121"/>
    <hyperlink ref="F42" r:id="rId122"/>
    <hyperlink ref="F8" r:id="rId123"/>
    <hyperlink ref="F52" r:id="rId124"/>
    <hyperlink ref="F23" r:id="rId125"/>
    <hyperlink ref="F20" r:id="rId126"/>
    <hyperlink ref="F12" r:id="rId127"/>
    <hyperlink ref="F25" r:id="rId128"/>
    <hyperlink ref="F27" r:id="rId129"/>
    <hyperlink ref="F9" r:id="rId130"/>
    <hyperlink ref="F6" r:id="rId131"/>
    <hyperlink ref="F104" r:id="rId132"/>
    <hyperlink ref="F70" r:id="rId133"/>
    <hyperlink ref="F71" r:id="rId134"/>
    <hyperlink ref="F74" r:id="rId135"/>
    <hyperlink ref="F34" r:id="rId136"/>
    <hyperlink ref="F131" r:id="rId137"/>
    <hyperlink ref="F22" r:id="rId138"/>
  </hyperlinks>
  <pageMargins left="0.7" right="0.7" top="0.75" bottom="0.75" header="0" footer="0"/>
  <pageSetup paperSize="9" orientation="portrait" r:id="rId13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outlinePr summaryBelow="0" summaryRight="0"/>
  </sheetPr>
  <dimension ref="A1:H49"/>
  <sheetViews>
    <sheetView showGridLines="0" workbookViewId="0">
      <pane xSplit="2" ySplit="4" topLeftCell="C5" activePane="bottomRight" state="frozen"/>
      <selection activeCell="B5" sqref="B5:E5"/>
      <selection pane="topRight" activeCell="B5" sqref="B5:E5"/>
      <selection pane="bottomLeft" activeCell="B5" sqref="B5:E5"/>
      <selection pane="bottomRight" activeCell="C5" sqref="C5"/>
    </sheetView>
  </sheetViews>
  <sheetFormatPr defaultColWidth="14.140625" defaultRowHeight="15" customHeight="1"/>
  <cols>
    <col min="1" max="1" width="6.140625" style="27" customWidth="1"/>
    <col min="2" max="2" width="70.85546875" style="27" customWidth="1"/>
    <col min="3" max="4" width="15.85546875" style="27" customWidth="1"/>
    <col min="5" max="5" width="23.85546875" style="27" customWidth="1"/>
    <col min="6" max="6" width="22.85546875" style="27" customWidth="1"/>
    <col min="7" max="7" width="16" style="32" customWidth="1"/>
    <col min="8" max="8" width="32.85546875" style="32" customWidth="1"/>
    <col min="9" max="16384" width="14.140625" style="27"/>
  </cols>
  <sheetData>
    <row r="1" spans="1:8" ht="25.35" customHeight="1">
      <c r="A1" s="77" t="s">
        <v>0</v>
      </c>
      <c r="B1" s="77"/>
      <c r="C1" s="77"/>
      <c r="D1" s="77"/>
      <c r="E1" s="77"/>
      <c r="F1" s="77"/>
      <c r="G1" s="77"/>
      <c r="H1" s="77"/>
    </row>
    <row r="2" spans="1:8" ht="15" customHeight="1">
      <c r="A2" s="78" t="s">
        <v>1</v>
      </c>
      <c r="B2" s="79"/>
      <c r="C2" s="79"/>
      <c r="D2" s="79"/>
      <c r="E2" s="79"/>
      <c r="F2" s="79"/>
      <c r="G2" s="79"/>
      <c r="H2" s="79"/>
    </row>
    <row r="3" spans="1:8" ht="15" customHeight="1">
      <c r="A3" s="79"/>
      <c r="B3" s="79"/>
      <c r="C3" s="79"/>
      <c r="D3" s="79"/>
      <c r="E3" s="79"/>
      <c r="F3" s="79"/>
      <c r="G3" s="79"/>
      <c r="H3" s="79"/>
    </row>
    <row r="4" spans="1:8" ht="28.5" customHeight="1">
      <c r="A4" s="7" t="s">
        <v>2</v>
      </c>
      <c r="B4" s="45" t="s">
        <v>26</v>
      </c>
      <c r="C4" s="7" t="s">
        <v>12</v>
      </c>
      <c r="D4" s="7" t="s">
        <v>13</v>
      </c>
      <c r="E4" s="45" t="s">
        <v>22</v>
      </c>
      <c r="F4" s="7" t="s">
        <v>5</v>
      </c>
      <c r="G4" s="45" t="s">
        <v>1572</v>
      </c>
      <c r="H4" s="45" t="s">
        <v>6</v>
      </c>
    </row>
    <row r="5" spans="1:8" ht="15.95" customHeight="1">
      <c r="A5" s="28">
        <v>1</v>
      </c>
      <c r="B5" s="2" t="str">
        <f>HYPERLINK("https://c-path.org/","Critical Path Institute (C-Path)")</f>
        <v>Critical Path Institute (C-Path)</v>
      </c>
      <c r="C5" s="29" t="s">
        <v>14</v>
      </c>
      <c r="D5" s="29" t="s">
        <v>14</v>
      </c>
      <c r="E5" s="29" t="s">
        <v>18</v>
      </c>
      <c r="F5" s="2" t="s">
        <v>27</v>
      </c>
      <c r="G5" s="46" t="s">
        <v>1679</v>
      </c>
      <c r="H5" s="29"/>
    </row>
    <row r="6" spans="1:8" ht="15.95" customHeight="1">
      <c r="A6" s="28">
        <v>2</v>
      </c>
      <c r="B6" s="2" t="str">
        <f>HYPERLINK("https://www.rti.org/","RTI International")</f>
        <v>RTI International</v>
      </c>
      <c r="C6" s="29" t="s">
        <v>14</v>
      </c>
      <c r="D6" s="29" t="s">
        <v>14</v>
      </c>
      <c r="E6" s="29" t="s">
        <v>18</v>
      </c>
      <c r="F6" s="2" t="s">
        <v>28</v>
      </c>
      <c r="G6" s="46" t="s">
        <v>1679</v>
      </c>
      <c r="H6" s="29"/>
    </row>
    <row r="7" spans="1:8" ht="15.95" customHeight="1">
      <c r="A7" s="28">
        <v>3</v>
      </c>
      <c r="B7" s="2" t="str">
        <f>HYPERLINK("https://apo.who.int/","Asia Pacific Observatory on Health Systems and Policies (APO)")</f>
        <v>Asia Pacific Observatory on Health Systems and Policies (APO)</v>
      </c>
      <c r="C7" s="29" t="s">
        <v>114</v>
      </c>
      <c r="D7" s="29" t="s">
        <v>380</v>
      </c>
      <c r="E7" s="29" t="s">
        <v>1193</v>
      </c>
      <c r="F7" s="2" t="s">
        <v>1194</v>
      </c>
      <c r="G7" s="46" t="s">
        <v>1679</v>
      </c>
      <c r="H7" s="29"/>
    </row>
    <row r="8" spans="1:8" ht="15.95" customHeight="1">
      <c r="A8" s="28">
        <v>4</v>
      </c>
      <c r="B8" s="2" t="str">
        <f>HYPERLINK("https://www.ghc.sa/en/","Gulf Health Council")</f>
        <v>Gulf Health Council</v>
      </c>
      <c r="C8" s="29" t="s">
        <v>114</v>
      </c>
      <c r="D8" s="29" t="s">
        <v>1195</v>
      </c>
      <c r="E8" s="29" t="s">
        <v>299</v>
      </c>
      <c r="F8" s="2" t="s">
        <v>1196</v>
      </c>
      <c r="G8" s="46" t="s">
        <v>1679</v>
      </c>
      <c r="H8" s="29"/>
    </row>
    <row r="9" spans="1:8" ht="15.95" customHeight="1">
      <c r="A9" s="28">
        <v>5</v>
      </c>
      <c r="B9" s="2" t="str">
        <f>HYPERLINK("https://www.iecs.org.ar/en/institutional/","Institute for Clinical Effectiveness and Health Policy")</f>
        <v>Institute for Clinical Effectiveness and Health Policy</v>
      </c>
      <c r="C9" s="29" t="s">
        <v>114</v>
      </c>
      <c r="D9" s="29" t="s">
        <v>295</v>
      </c>
      <c r="E9" s="29" t="s">
        <v>161</v>
      </c>
      <c r="F9" s="2" t="s">
        <v>1197</v>
      </c>
      <c r="G9" s="46" t="s">
        <v>1679</v>
      </c>
      <c r="H9" s="29"/>
    </row>
    <row r="10" spans="1:8" ht="15.95" customHeight="1">
      <c r="A10" s="28">
        <v>6</v>
      </c>
      <c r="B10" s="2" t="str">
        <f>HYPERLINK("https://www.argentina.gob.ar/salud/conetec","National Commission for the Evaluation of Health Technologies (CONETEC)")</f>
        <v>National Commission for the Evaluation of Health Technologies (CONETEC)</v>
      </c>
      <c r="C10" s="29" t="s">
        <v>15</v>
      </c>
      <c r="D10" s="29" t="s">
        <v>161</v>
      </c>
      <c r="E10" s="29" t="s">
        <v>161</v>
      </c>
      <c r="F10" s="2" t="s">
        <v>1198</v>
      </c>
      <c r="G10" s="46" t="s">
        <v>1679</v>
      </c>
      <c r="H10" s="29"/>
    </row>
    <row r="11" spans="1:8" ht="15.95" customHeight="1">
      <c r="A11" s="28">
        <v>7</v>
      </c>
      <c r="B11" s="2" t="str">
        <f>HYPERLINK("https://www.argentina.gob.ar/jefatura/sedronar","National Comprehensive Drug Policy Department (SEDRONAR)")</f>
        <v>National Comprehensive Drug Policy Department (SEDRONAR)</v>
      </c>
      <c r="C11" s="29" t="s">
        <v>15</v>
      </c>
      <c r="D11" s="29" t="s">
        <v>161</v>
      </c>
      <c r="E11" s="29" t="s">
        <v>161</v>
      </c>
      <c r="F11" s="2" t="s">
        <v>1199</v>
      </c>
      <c r="G11" s="46" t="s">
        <v>1679</v>
      </c>
      <c r="H11" s="29"/>
    </row>
    <row r="12" spans="1:8" ht="15.95" customHeight="1">
      <c r="A12" s="28">
        <v>8</v>
      </c>
      <c r="B12" s="2" t="str">
        <f>HYPERLINK("http://www.msac.gov.au/","Medical Services Advisory Committee (MSAC)")</f>
        <v>Medical Services Advisory Committee (MSAC)</v>
      </c>
      <c r="C12" s="29" t="s">
        <v>15</v>
      </c>
      <c r="D12" s="29" t="s">
        <v>162</v>
      </c>
      <c r="E12" s="29" t="s">
        <v>162</v>
      </c>
      <c r="F12" s="2" t="s">
        <v>1200</v>
      </c>
      <c r="G12" s="46" t="s">
        <v>1679</v>
      </c>
      <c r="H12" s="29"/>
    </row>
    <row r="13" spans="1:8" ht="15.95" customHeight="1">
      <c r="A13" s="28">
        <v>9</v>
      </c>
      <c r="B13" s="2" t="str">
        <f>HYPERLINK("http://www.mbsonline.gov.au/internet/mbsonline/publishing.nsf/Content/Home","Medicare Benefits Schedule (MBS)")</f>
        <v>Medicare Benefits Schedule (MBS)</v>
      </c>
      <c r="C13" s="29" t="s">
        <v>15</v>
      </c>
      <c r="D13" s="29" t="s">
        <v>162</v>
      </c>
      <c r="E13" s="29" t="s">
        <v>162</v>
      </c>
      <c r="F13" s="2" t="s">
        <v>1201</v>
      </c>
      <c r="G13" s="46" t="s">
        <v>1679</v>
      </c>
      <c r="H13" s="29"/>
    </row>
    <row r="14" spans="1:8" ht="15.95" customHeight="1">
      <c r="A14" s="28">
        <v>10</v>
      </c>
      <c r="B14" s="2" t="str">
        <f>HYPERLINK("https://www.pbs.gov.au/pbs/home","Pharmaceutical Benefits Scheme (PBS)")</f>
        <v>Pharmaceutical Benefits Scheme (PBS)</v>
      </c>
      <c r="C14" s="29" t="s">
        <v>15</v>
      </c>
      <c r="D14" s="29" t="s">
        <v>162</v>
      </c>
      <c r="E14" s="29" t="s">
        <v>162</v>
      </c>
      <c r="F14" s="2" t="s">
        <v>1202</v>
      </c>
      <c r="G14" s="46" t="s">
        <v>1679</v>
      </c>
      <c r="H14" s="29"/>
    </row>
    <row r="15" spans="1:8" ht="15.95" customHeight="1">
      <c r="A15" s="28">
        <v>11</v>
      </c>
      <c r="B15" s="2" t="str">
        <f>HYPERLINK("https://actbr.org.br/","ACT Health Promotion")</f>
        <v>ACT Health Promotion</v>
      </c>
      <c r="C15" s="29" t="s">
        <v>15</v>
      </c>
      <c r="D15" s="29" t="s">
        <v>276</v>
      </c>
      <c r="E15" s="29" t="s">
        <v>276</v>
      </c>
      <c r="F15" s="2" t="s">
        <v>1203</v>
      </c>
      <c r="G15" s="46" t="s">
        <v>1679</v>
      </c>
      <c r="H15" s="29"/>
    </row>
    <row r="16" spans="1:8" ht="15.95" customHeight="1">
      <c r="A16" s="28">
        <v>12</v>
      </c>
      <c r="B16" s="2" t="str">
        <f>HYPERLINK("https://www.gov.br/conitec/pt-br","National Committee for Health Technology Incorporation (CONITEC)")</f>
        <v>National Committee for Health Technology Incorporation (CONITEC)</v>
      </c>
      <c r="C16" s="29" t="s">
        <v>15</v>
      </c>
      <c r="D16" s="29" t="s">
        <v>276</v>
      </c>
      <c r="E16" s="29" t="s">
        <v>276</v>
      </c>
      <c r="F16" s="2" t="s">
        <v>1204</v>
      </c>
      <c r="G16" s="46" t="s">
        <v>1679</v>
      </c>
      <c r="H16" s="29"/>
    </row>
    <row r="17" spans="1:8" ht="15.95" customHeight="1">
      <c r="A17" s="28">
        <v>13</v>
      </c>
      <c r="B17" s="2" t="str">
        <f>HYPERLINK("https://www.cda-amc.ca/","Canada’s Drug Agency")</f>
        <v>Canada’s Drug Agency</v>
      </c>
      <c r="C17" s="30" t="s">
        <v>15</v>
      </c>
      <c r="D17" s="30" t="s">
        <v>23</v>
      </c>
      <c r="E17" s="30" t="s">
        <v>23</v>
      </c>
      <c r="F17" s="2" t="s">
        <v>1205</v>
      </c>
      <c r="G17" s="46" t="s">
        <v>1679</v>
      </c>
      <c r="H17" s="31"/>
    </row>
    <row r="18" spans="1:8" ht="15.95" customHeight="1">
      <c r="A18" s="28">
        <v>14</v>
      </c>
      <c r="B18" s="2" t="str">
        <f>HYPERLINK("https://www.inesss.qc.ca/en/about-us/about-the-institut.html","National Institute of Excellence in Health and Social Services (INESSS)")</f>
        <v>National Institute of Excellence in Health and Social Services (INESSS)</v>
      </c>
      <c r="C18" s="29" t="s">
        <v>15</v>
      </c>
      <c r="D18" s="29" t="s">
        <v>23</v>
      </c>
      <c r="E18" s="29" t="s">
        <v>23</v>
      </c>
      <c r="F18" s="2" t="s">
        <v>104</v>
      </c>
      <c r="G18" s="46" t="s">
        <v>1679</v>
      </c>
      <c r="H18" s="29"/>
    </row>
    <row r="19" spans="1:8" ht="15.95" customHeight="1">
      <c r="A19" s="28">
        <v>15</v>
      </c>
      <c r="B19" s="2" t="str">
        <f>HYPERLINK("http://www.pmprb-cepmb.gc.ca/home","Patented Medicine Prices Review Board (PMPRB)")</f>
        <v>Patented Medicine Prices Review Board (PMPRB)</v>
      </c>
      <c r="C19" s="29" t="s">
        <v>15</v>
      </c>
      <c r="D19" s="29" t="s">
        <v>23</v>
      </c>
      <c r="E19" s="29" t="s">
        <v>23</v>
      </c>
      <c r="F19" s="2" t="s">
        <v>105</v>
      </c>
      <c r="G19" s="46" t="s">
        <v>1679</v>
      </c>
      <c r="H19" s="29"/>
    </row>
    <row r="20" spans="1:8" ht="15.95" customHeight="1">
      <c r="A20" s="28">
        <v>16</v>
      </c>
      <c r="B20" s="2" t="str">
        <f>HYPERLINK("http://www.pdci.ca/about-us/","PDCI Market Access")</f>
        <v>PDCI Market Access</v>
      </c>
      <c r="C20" s="29" t="s">
        <v>15</v>
      </c>
      <c r="D20" s="29" t="s">
        <v>23</v>
      </c>
      <c r="E20" s="29" t="s">
        <v>23</v>
      </c>
      <c r="F20" s="2" t="s">
        <v>106</v>
      </c>
      <c r="G20" s="46" t="s">
        <v>1679</v>
      </c>
      <c r="H20" s="29"/>
    </row>
    <row r="21" spans="1:8" ht="15.95" customHeight="1">
      <c r="A21" s="28">
        <v>17</v>
      </c>
      <c r="B21" s="2" t="str">
        <f>HYPERLINK("https://www.invima.gov.co/","National Institute for Food and Drug Surveillance (INVIMA)")</f>
        <v>National Institute for Food and Drug Surveillance (INVIMA)</v>
      </c>
      <c r="C21" s="29" t="s">
        <v>15</v>
      </c>
      <c r="D21" s="29" t="s">
        <v>280</v>
      </c>
      <c r="E21" s="29" t="s">
        <v>280</v>
      </c>
      <c r="F21" s="2" t="s">
        <v>1206</v>
      </c>
      <c r="G21" s="46" t="s">
        <v>1679</v>
      </c>
      <c r="H21" s="29"/>
    </row>
    <row r="22" spans="1:8" ht="15.95" customHeight="1">
      <c r="A22" s="28">
        <v>18</v>
      </c>
      <c r="B22" s="2" t="str">
        <f>HYPERLINK("https://solidarites-sante.gouv.fr/ministere/acteurs/instances-rattachees/article/ceps-comite-economique-des-produits-de-sante","Economic Committee for Health Products (CEPS)")</f>
        <v>Economic Committee for Health Products (CEPS)</v>
      </c>
      <c r="C22" s="29" t="s">
        <v>15</v>
      </c>
      <c r="D22" s="29" t="s">
        <v>88</v>
      </c>
      <c r="E22" s="29" t="s">
        <v>88</v>
      </c>
      <c r="F22" s="2" t="s">
        <v>89</v>
      </c>
      <c r="G22" s="46" t="s">
        <v>1679</v>
      </c>
      <c r="H22" s="29"/>
    </row>
    <row r="23" spans="1:8" ht="15.95" customHeight="1">
      <c r="A23" s="28">
        <v>19</v>
      </c>
      <c r="B23" s="2" t="str">
        <f>HYPERLINK("https://assurance-maladie.ameli.fr/qui-sommes-nous","National Health Insurance Fund (CNAM)")</f>
        <v>National Health Insurance Fund (CNAM)</v>
      </c>
      <c r="C23" s="29" t="s">
        <v>15</v>
      </c>
      <c r="D23" s="29" t="s">
        <v>88</v>
      </c>
      <c r="E23" s="29" t="s">
        <v>88</v>
      </c>
      <c r="F23" s="2" t="s">
        <v>90</v>
      </c>
      <c r="G23" s="46" t="s">
        <v>1679</v>
      </c>
      <c r="H23" s="29"/>
    </row>
    <row r="24" spans="1:8" ht="15.95" customHeight="1">
      <c r="A24" s="28">
        <v>20</v>
      </c>
      <c r="B24" s="2" t="str">
        <f>HYPERLINK("https://www.g-ba.de/","Federal Joint Committee (G-BA)")</f>
        <v>Federal Joint Committee (G-BA)</v>
      </c>
      <c r="C24" s="29" t="s">
        <v>15</v>
      </c>
      <c r="D24" s="29" t="s">
        <v>91</v>
      </c>
      <c r="E24" s="29" t="s">
        <v>91</v>
      </c>
      <c r="F24" s="2" t="s">
        <v>92</v>
      </c>
      <c r="G24" s="46" t="s">
        <v>1679</v>
      </c>
      <c r="H24" s="29"/>
    </row>
    <row r="25" spans="1:8" ht="15.95" customHeight="1">
      <c r="A25" s="28">
        <v>21</v>
      </c>
      <c r="B25" s="2" t="str">
        <f>HYPERLINK("https://www.gkv-spitzenverband.de/english/english.jsp","GKV Spitzenverband")</f>
        <v>GKV Spitzenverband</v>
      </c>
      <c r="C25" s="29" t="s">
        <v>15</v>
      </c>
      <c r="D25" s="29" t="s">
        <v>91</v>
      </c>
      <c r="E25" s="29" t="s">
        <v>91</v>
      </c>
      <c r="F25" s="2" t="s">
        <v>93</v>
      </c>
      <c r="G25" s="46" t="s">
        <v>1679</v>
      </c>
      <c r="H25" s="29"/>
    </row>
    <row r="26" spans="1:8" ht="15.95" customHeight="1">
      <c r="A26" s="28">
        <v>22</v>
      </c>
      <c r="B26" s="2" t="str">
        <f>HYPERLINK("https://www.iqwig.de/","Institute for Quality and Efficiency in Health Care (IQWiG)")</f>
        <v>Institute for Quality and Efficiency in Health Care (IQWiG)</v>
      </c>
      <c r="C26" s="29" t="s">
        <v>15</v>
      </c>
      <c r="D26" s="29" t="s">
        <v>91</v>
      </c>
      <c r="E26" s="29" t="s">
        <v>91</v>
      </c>
      <c r="F26" s="2" t="s">
        <v>1207</v>
      </c>
      <c r="G26" s="46" t="s">
        <v>1679</v>
      </c>
      <c r="H26" s="29"/>
    </row>
    <row r="27" spans="1:8" ht="15.95" customHeight="1">
      <c r="A27" s="28">
        <v>23</v>
      </c>
      <c r="B27" s="2" t="str">
        <f>HYPERLINK("https://www.agenas.it/","National Agency for Regional Health Services (AGENAS)")</f>
        <v>National Agency for Regional Health Services (AGENAS)</v>
      </c>
      <c r="C27" s="29" t="s">
        <v>15</v>
      </c>
      <c r="D27" s="29" t="s">
        <v>16</v>
      </c>
      <c r="E27" s="29" t="s">
        <v>16</v>
      </c>
      <c r="F27" s="2" t="s">
        <v>94</v>
      </c>
      <c r="G27" s="46" t="s">
        <v>1679</v>
      </c>
      <c r="H27" s="29"/>
    </row>
    <row r="28" spans="1:8" ht="15.95" customHeight="1">
      <c r="A28" s="28">
        <v>24</v>
      </c>
      <c r="B28" s="2" t="str">
        <f>HYPERLINK("https://assr.regione.emilia-romagna.it/","Regional Health and Social Agency")</f>
        <v>Regional Health and Social Agency</v>
      </c>
      <c r="C28" s="29" t="s">
        <v>15</v>
      </c>
      <c r="D28" s="29" t="s">
        <v>16</v>
      </c>
      <c r="E28" s="29" t="s">
        <v>16</v>
      </c>
      <c r="F28" s="2" t="s">
        <v>95</v>
      </c>
      <c r="G28" s="46" t="s">
        <v>1679</v>
      </c>
      <c r="H28" s="29"/>
    </row>
    <row r="29" spans="1:8" ht="15.95" customHeight="1">
      <c r="A29" s="28">
        <v>25</v>
      </c>
      <c r="B29" s="2" t="str">
        <f>HYPERLINK("https://www.mhlw.go.jp/stf/shingi/shingi-chuo_128153.html","Central Social Insurance Medical Council (Chuikyou)")</f>
        <v>Central Social Insurance Medical Council (Chuikyou)</v>
      </c>
      <c r="C29" s="29" t="s">
        <v>15</v>
      </c>
      <c r="D29" s="29" t="s">
        <v>110</v>
      </c>
      <c r="E29" s="29" t="s">
        <v>110</v>
      </c>
      <c r="F29" s="2" t="s">
        <v>1208</v>
      </c>
      <c r="G29" s="46" t="s">
        <v>1679</v>
      </c>
      <c r="H29" s="29"/>
    </row>
    <row r="30" spans="1:8" ht="15.95" customHeight="1">
      <c r="A30" s="28">
        <v>26</v>
      </c>
      <c r="B30" s="2" t="str">
        <f>HYPERLINK("https://beta.sfda.gov.sa/en/national-pharmacovigilance-center","National Pharmacovigilance Center (NPC)")</f>
        <v>National Pharmacovigilance Center (NPC)</v>
      </c>
      <c r="C30" s="29" t="s">
        <v>15</v>
      </c>
      <c r="D30" s="29" t="s">
        <v>299</v>
      </c>
      <c r="E30" s="29" t="s">
        <v>299</v>
      </c>
      <c r="F30" s="2" t="s">
        <v>2018</v>
      </c>
      <c r="G30" s="46" t="s">
        <v>1679</v>
      </c>
      <c r="H30" s="29"/>
    </row>
    <row r="31" spans="1:8" ht="15.95" customHeight="1">
      <c r="A31" s="28">
        <v>27</v>
      </c>
      <c r="B31" s="2" t="str">
        <f>HYPERLINK("https://www.hira.or.kr/main.do","Health Insurance and Review Assessment (HIRA)")</f>
        <v>Health Insurance and Review Assessment (HIRA)</v>
      </c>
      <c r="C31" s="29" t="s">
        <v>15</v>
      </c>
      <c r="D31" s="29" t="s">
        <v>344</v>
      </c>
      <c r="E31" s="29" t="s">
        <v>344</v>
      </c>
      <c r="F31" s="2" t="s">
        <v>1856</v>
      </c>
      <c r="G31" s="46" t="s">
        <v>1679</v>
      </c>
      <c r="H31" s="29"/>
    </row>
    <row r="32" spans="1:8" ht="15.95" customHeight="1">
      <c r="A32" s="28">
        <v>28</v>
      </c>
      <c r="B32" s="2" t="str">
        <f>HYPERLINK("http://aquas.gencat.cat/ca/inici/","Catalan Health Quality and Assessment Agency (AQuAS)")</f>
        <v>Catalan Health Quality and Assessment Agency (AQuAS)</v>
      </c>
      <c r="C32" s="29" t="s">
        <v>15</v>
      </c>
      <c r="D32" s="29" t="s">
        <v>107</v>
      </c>
      <c r="E32" s="29" t="s">
        <v>107</v>
      </c>
      <c r="F32" s="2" t="s">
        <v>108</v>
      </c>
      <c r="G32" s="46" t="s">
        <v>1679</v>
      </c>
      <c r="H32" s="29"/>
    </row>
    <row r="33" spans="1:8" ht="15.95" customHeight="1">
      <c r="A33" s="28">
        <v>29</v>
      </c>
      <c r="B33" s="2" t="str">
        <f>HYPERLINK("https://www.aetsa.org/","Health Technology Assessment Agency (AETSA)")</f>
        <v>Health Technology Assessment Agency (AETSA)</v>
      </c>
      <c r="C33" s="29" t="s">
        <v>15</v>
      </c>
      <c r="D33" s="29" t="s">
        <v>107</v>
      </c>
      <c r="E33" s="29" t="s">
        <v>107</v>
      </c>
      <c r="F33" s="2" t="s">
        <v>109</v>
      </c>
      <c r="G33" s="46" t="s">
        <v>1679</v>
      </c>
      <c r="H33" s="29"/>
    </row>
    <row r="34" spans="1:8" ht="15.95" customHeight="1">
      <c r="A34" s="28">
        <v>30</v>
      </c>
      <c r="B34" s="2" t="str">
        <f>HYPERLINK("https://www.sgk.gov.tr/Home/Index2/","Republic of Turkey Social Security Institution")</f>
        <v>Republic of Turkey Social Security Institution</v>
      </c>
      <c r="C34" s="29" t="s">
        <v>15</v>
      </c>
      <c r="D34" s="29" t="s">
        <v>2043</v>
      </c>
      <c r="E34" s="29" t="s">
        <v>2043</v>
      </c>
      <c r="F34" s="2" t="s">
        <v>2033</v>
      </c>
      <c r="G34" s="46" t="s">
        <v>1679</v>
      </c>
      <c r="H34" s="29"/>
    </row>
    <row r="35" spans="1:8" ht="15.95" customHeight="1">
      <c r="A35" s="28">
        <v>31</v>
      </c>
      <c r="B35" s="2" t="str">
        <f>HYPERLINK("http://www.awmsg.org/","AWMSG – All Wales Medicines Strategy Group")</f>
        <v>AWMSG – All Wales Medicines Strategy Group</v>
      </c>
      <c r="C35" s="29" t="s">
        <v>15</v>
      </c>
      <c r="D35" s="29" t="s">
        <v>17</v>
      </c>
      <c r="E35" s="29" t="s">
        <v>96</v>
      </c>
      <c r="F35" s="2" t="s">
        <v>97</v>
      </c>
      <c r="G35" s="46" t="s">
        <v>1679</v>
      </c>
      <c r="H35" s="29"/>
    </row>
    <row r="36" spans="1:8" ht="15.95" customHeight="1">
      <c r="A36" s="28">
        <v>32</v>
      </c>
      <c r="B36" s="2" t="str">
        <f>HYPERLINK("https://www.ndph.ox.ac.uk/research/health-services-research-unit-hsru","Health Services Research Unit")</f>
        <v>Health Services Research Unit</v>
      </c>
      <c r="C36" s="29" t="s">
        <v>15</v>
      </c>
      <c r="D36" s="29" t="s">
        <v>17</v>
      </c>
      <c r="E36" s="29" t="s">
        <v>17</v>
      </c>
      <c r="F36" s="2" t="s">
        <v>98</v>
      </c>
      <c r="G36" s="46" t="s">
        <v>1679</v>
      </c>
      <c r="H36" s="29"/>
    </row>
    <row r="37" spans="1:8" ht="15.95" customHeight="1">
      <c r="A37" s="28">
        <v>33</v>
      </c>
      <c r="B37" s="2" t="str">
        <f>HYPERLINK("https://www.health-ni.gov.uk/articles/about-medicines-regulatory-group#toc-1","Medicines Regulatory Group")</f>
        <v>Medicines Regulatory Group</v>
      </c>
      <c r="C37" s="29" t="s">
        <v>15</v>
      </c>
      <c r="D37" s="29" t="s">
        <v>17</v>
      </c>
      <c r="E37" s="29" t="s">
        <v>138</v>
      </c>
      <c r="F37" s="2" t="s">
        <v>1209</v>
      </c>
      <c r="G37" s="46" t="s">
        <v>1679</v>
      </c>
      <c r="H37" s="29"/>
    </row>
    <row r="38" spans="1:8" ht="15.95" customHeight="1">
      <c r="A38" s="28">
        <v>34</v>
      </c>
      <c r="B38" s="2" t="str">
        <f>HYPERLINK("https://www.nice.org.uk/","National Institute of Health and Care Excellence")</f>
        <v>National Institute of Health and Care Excellence</v>
      </c>
      <c r="C38" s="29" t="s">
        <v>15</v>
      </c>
      <c r="D38" s="29" t="s">
        <v>17</v>
      </c>
      <c r="E38" s="29" t="s">
        <v>17</v>
      </c>
      <c r="F38" s="2" t="s">
        <v>99</v>
      </c>
      <c r="G38" s="46" t="s">
        <v>1679</v>
      </c>
      <c r="H38" s="29"/>
    </row>
    <row r="39" spans="1:8" ht="15.95" customHeight="1">
      <c r="A39" s="28">
        <v>35</v>
      </c>
      <c r="B39" s="2" t="str">
        <f>HYPERLINK("https://www.nihr.ac.uk/","National Institute of Health Research")</f>
        <v>National Institute of Health Research</v>
      </c>
      <c r="C39" s="29" t="s">
        <v>15</v>
      </c>
      <c r="D39" s="29" t="s">
        <v>17</v>
      </c>
      <c r="E39" s="29" t="s">
        <v>17</v>
      </c>
      <c r="F39" s="2" t="s">
        <v>100</v>
      </c>
      <c r="G39" s="46" t="s">
        <v>1679</v>
      </c>
      <c r="H39" s="29"/>
    </row>
    <row r="40" spans="1:8" ht="15.95" customHeight="1">
      <c r="A40" s="28">
        <v>36</v>
      </c>
      <c r="B40" s="2" t="str">
        <f>HYPERLINK("https://www.england.nhs.uk/medicines-2/commercial-medicines/commercial-medicines-unit/","NHS - The Commercial Medicines Unit (CMU)")</f>
        <v>NHS - The Commercial Medicines Unit (CMU)</v>
      </c>
      <c r="C40" s="29" t="s">
        <v>15</v>
      </c>
      <c r="D40" s="29" t="s">
        <v>17</v>
      </c>
      <c r="E40" s="29" t="s">
        <v>24</v>
      </c>
      <c r="F40" s="2" t="s">
        <v>101</v>
      </c>
      <c r="G40" s="46" t="s">
        <v>1679</v>
      </c>
      <c r="H40" s="29"/>
    </row>
    <row r="41" spans="1:8" ht="15.95" customHeight="1">
      <c r="A41" s="28">
        <v>37</v>
      </c>
      <c r="B41" s="2" t="str">
        <f>HYPERLINK("http://www.scottishmedicines.org.uk/","SMC - Scottish Medicines Consortium")</f>
        <v>SMC - Scottish Medicines Consortium</v>
      </c>
      <c r="C41" s="29" t="s">
        <v>15</v>
      </c>
      <c r="D41" s="29" t="s">
        <v>17</v>
      </c>
      <c r="E41" s="29" t="s">
        <v>102</v>
      </c>
      <c r="F41" s="2" t="s">
        <v>103</v>
      </c>
      <c r="G41" s="46" t="s">
        <v>1679</v>
      </c>
      <c r="H41" s="29"/>
    </row>
    <row r="42" spans="1:8" ht="15.95" customHeight="1">
      <c r="A42" s="28">
        <v>38</v>
      </c>
      <c r="B42" s="2" t="str">
        <f>HYPERLINK("https://www.fda.gov/about-fda/fda-organization/center-biologics-evaluation-and-research-cber","Center for Biologics Evaluation and Research, FDA")</f>
        <v>Center for Biologics Evaluation and Research, FDA</v>
      </c>
      <c r="C42" s="29" t="s">
        <v>15</v>
      </c>
      <c r="D42" s="29" t="s">
        <v>18</v>
      </c>
      <c r="E42" s="29" t="s">
        <v>18</v>
      </c>
      <c r="F42" s="2" t="s">
        <v>29</v>
      </c>
      <c r="G42" s="46" t="s">
        <v>1679</v>
      </c>
      <c r="H42" s="29"/>
    </row>
    <row r="43" spans="1:8" ht="15.95" customHeight="1">
      <c r="A43" s="28">
        <v>39</v>
      </c>
      <c r="B43" s="2" t="str">
        <f>HYPERLINK("https://www.fda.gov/about-fda/fda-organization/center-drug-evaluation-and-research-cder","Center for Drug Evaluation and Research (CDER)")</f>
        <v>Center for Drug Evaluation and Research (CDER)</v>
      </c>
      <c r="C43" s="29" t="s">
        <v>15</v>
      </c>
      <c r="D43" s="29" t="s">
        <v>18</v>
      </c>
      <c r="E43" s="29" t="s">
        <v>18</v>
      </c>
      <c r="F43" s="2" t="s">
        <v>30</v>
      </c>
      <c r="G43" s="46" t="s">
        <v>1679</v>
      </c>
      <c r="H43" s="29"/>
    </row>
    <row r="44" spans="1:8" ht="15.95" customHeight="1">
      <c r="A44" s="28">
        <v>40</v>
      </c>
      <c r="B44" s="2" t="str">
        <f>HYPERLINK("https://icer.org/","Institute for Clinical and Economic Review (ICER)")</f>
        <v>Institute for Clinical and Economic Review (ICER)</v>
      </c>
      <c r="C44" s="29" t="s">
        <v>15</v>
      </c>
      <c r="D44" s="29" t="s">
        <v>18</v>
      </c>
      <c r="E44" s="29" t="s">
        <v>18</v>
      </c>
      <c r="F44" s="2" t="s">
        <v>31</v>
      </c>
      <c r="G44" s="46" t="s">
        <v>1679</v>
      </c>
      <c r="H44" s="29"/>
    </row>
    <row r="45" spans="1:8" ht="15.95" customHeight="1">
      <c r="A45" s="28">
        <v>41</v>
      </c>
      <c r="B45" s="2" t="str">
        <f>HYPERLINK("https://www.fda.gov/aboutfda/centersoffices/oc/officeofscientificandmedicalprograms/nctr/default.htm","National Center for Toxicological Research, FDA")</f>
        <v>National Center for Toxicological Research, FDA</v>
      </c>
      <c r="C45" s="29" t="s">
        <v>15</v>
      </c>
      <c r="D45" s="29" t="s">
        <v>18</v>
      </c>
      <c r="E45" s="29" t="s">
        <v>18</v>
      </c>
      <c r="F45" s="2" t="s">
        <v>32</v>
      </c>
      <c r="G45" s="46" t="s">
        <v>1679</v>
      </c>
      <c r="H45" s="29"/>
    </row>
    <row r="46" spans="1:8" ht="15.95" customHeight="1">
      <c r="A46" s="28">
        <v>42</v>
      </c>
      <c r="B46" s="2" t="str">
        <f>HYPERLINK("https://public4.pagefreezer.com/content/FDA/28-07-2023T13:45/https://www.fda.gov/about-fda/center-drug-evaluation-and-research-cder/office-biotechnology-products","Office of Biotechnology Products, FDA")</f>
        <v>Office of Biotechnology Products, FDA</v>
      </c>
      <c r="C46" s="29" t="s">
        <v>15</v>
      </c>
      <c r="D46" s="29" t="s">
        <v>18</v>
      </c>
      <c r="E46" s="29" t="s">
        <v>18</v>
      </c>
      <c r="F46" s="2" t="s">
        <v>173</v>
      </c>
      <c r="G46" s="46" t="s">
        <v>1679</v>
      </c>
      <c r="H46" s="29"/>
    </row>
    <row r="47" spans="1:8" ht="15.95" customHeight="1">
      <c r="A47" s="28">
        <v>43</v>
      </c>
      <c r="B47" s="2" t="str">
        <f>HYPERLINK("https://www.fda.gov/aboutfda/centersoffices/officeofmedicalproductsandtobacco/officeofscienceandhealthcoordination/ucm2018190.htm","Office of Orphan Products Development, FDA")</f>
        <v>Office of Orphan Products Development, FDA</v>
      </c>
      <c r="C47" s="29" t="s">
        <v>15</v>
      </c>
      <c r="D47" s="29" t="s">
        <v>18</v>
      </c>
      <c r="E47" s="29" t="s">
        <v>18</v>
      </c>
      <c r="F47" s="2" t="s">
        <v>33</v>
      </c>
      <c r="G47" s="46" t="s">
        <v>1679</v>
      </c>
      <c r="H47" s="29"/>
    </row>
    <row r="48" spans="1:8" ht="15.95" customHeight="1">
      <c r="A48" s="28">
        <v>44</v>
      </c>
      <c r="B48" s="2" t="str">
        <f>HYPERLINK("https://www.fda.gov/aboutfda/centersoffices/officeofglobalregulatoryoperationsandpolicy/ora/default.htm","Office of Regulatory Affairs, FDA")</f>
        <v>Office of Regulatory Affairs, FDA</v>
      </c>
      <c r="C48" s="29" t="s">
        <v>15</v>
      </c>
      <c r="D48" s="29" t="s">
        <v>18</v>
      </c>
      <c r="E48" s="29" t="s">
        <v>18</v>
      </c>
      <c r="F48" s="2" t="s">
        <v>34</v>
      </c>
      <c r="G48" s="46" t="s">
        <v>1679</v>
      </c>
      <c r="H48" s="29"/>
    </row>
    <row r="49" spans="1:8" ht="15.95" customHeight="1">
      <c r="A49" s="28">
        <v>45</v>
      </c>
      <c r="B49" s="2" t="str">
        <f>HYPERLINK("https://www.ahrq.gov/research/findings/ta/index.html","Technology Assessment (TA) Program at AHRQ")</f>
        <v>Technology Assessment (TA) Program at AHRQ</v>
      </c>
      <c r="C49" s="29" t="s">
        <v>15</v>
      </c>
      <c r="D49" s="29" t="s">
        <v>18</v>
      </c>
      <c r="E49" s="29" t="s">
        <v>18</v>
      </c>
      <c r="F49" s="2" t="s">
        <v>35</v>
      </c>
      <c r="G49" s="46" t="s">
        <v>1679</v>
      </c>
      <c r="H49" s="29"/>
    </row>
  </sheetData>
  <autoFilter ref="A4:H4"/>
  <mergeCells count="2">
    <mergeCell ref="A1:H1"/>
    <mergeCell ref="A2:H3"/>
  </mergeCells>
  <hyperlinks>
    <hyperlink ref="F5" r:id="rId1"/>
    <hyperlink ref="F6" r:id="rId2"/>
    <hyperlink ref="F22" r:id="rId3"/>
    <hyperlink ref="F23" r:id="rId4"/>
    <hyperlink ref="F24" r:id="rId5"/>
    <hyperlink ref="F25" r:id="rId6"/>
    <hyperlink ref="F27" r:id="rId7"/>
    <hyperlink ref="F28" r:id="rId8"/>
    <hyperlink ref="F35" r:id="rId9"/>
    <hyperlink ref="F36" r:id="rId10"/>
    <hyperlink ref="F38" r:id="rId11"/>
    <hyperlink ref="F39" r:id="rId12"/>
    <hyperlink ref="F40" r:id="rId13"/>
    <hyperlink ref="F41" r:id="rId14"/>
    <hyperlink ref="F42" r:id="rId15"/>
    <hyperlink ref="F43" r:id="rId16"/>
    <hyperlink ref="F44" r:id="rId17"/>
    <hyperlink ref="F45" r:id="rId18"/>
    <hyperlink ref="F47" r:id="rId19"/>
    <hyperlink ref="F48" r:id="rId20"/>
    <hyperlink ref="F49" r:id="rId21"/>
    <hyperlink ref="F18" r:id="rId22"/>
    <hyperlink ref="F19" r:id="rId23"/>
    <hyperlink ref="F20" r:id="rId24"/>
    <hyperlink ref="F32" r:id="rId25"/>
    <hyperlink ref="F33" r:id="rId26"/>
    <hyperlink ref="F46" r:id="rId27"/>
    <hyperlink ref="F29" r:id="rId28"/>
    <hyperlink ref="F17" r:id="rId29"/>
    <hyperlink ref="F26" r:id="rId30"/>
    <hyperlink ref="F37" r:id="rId31" location="toc-1"/>
    <hyperlink ref="F10" r:id="rId32"/>
    <hyperlink ref="F7" r:id="rId33"/>
    <hyperlink ref="F9" r:id="rId34"/>
    <hyperlink ref="F15" r:id="rId35"/>
    <hyperlink ref="F16" r:id="rId36"/>
    <hyperlink ref="F21" r:id="rId37"/>
    <hyperlink ref="F8" r:id="rId38"/>
    <hyperlink ref="F11" r:id="rId39"/>
    <hyperlink ref="F12" r:id="rId40"/>
    <hyperlink ref="F13" r:id="rId41"/>
    <hyperlink ref="F14" r:id="rId42"/>
    <hyperlink ref="F31" r:id="rId43"/>
    <hyperlink ref="F30" r:id="rId44"/>
    <hyperlink ref="F34" r:id="rId45"/>
  </hyperlinks>
  <pageMargins left="0.7" right="0.7" top="0.75" bottom="0.75" header="0" footer="0"/>
  <pageSetup orientation="landscape" r:id="rId4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Below="0" summaryRight="0"/>
  </sheetPr>
  <dimension ref="A1:H88"/>
  <sheetViews>
    <sheetView showGridLines="0" workbookViewId="0">
      <pane xSplit="2" ySplit="4" topLeftCell="C5" activePane="bottomRight" state="frozen"/>
      <selection activeCell="B5" sqref="B5:E5"/>
      <selection pane="topRight" activeCell="B5" sqref="B5:E5"/>
      <selection pane="bottomLeft" activeCell="B5" sqref="B5:E5"/>
      <selection pane="bottomRight" activeCell="C5" sqref="C5"/>
    </sheetView>
  </sheetViews>
  <sheetFormatPr defaultColWidth="14.140625" defaultRowHeight="15" customHeight="1"/>
  <cols>
    <col min="1" max="1" width="6.140625" style="27" customWidth="1"/>
    <col min="2" max="2" width="70.85546875" style="27" customWidth="1"/>
    <col min="3" max="4" width="15.85546875" style="27" customWidth="1"/>
    <col min="5" max="5" width="23.85546875" style="27" customWidth="1"/>
    <col min="6" max="6" width="27.42578125" style="27" customWidth="1"/>
    <col min="7" max="7" width="15.28515625" style="27" customWidth="1"/>
    <col min="8" max="8" width="37.140625" style="27" customWidth="1"/>
    <col min="9" max="16384" width="14.140625" style="27"/>
  </cols>
  <sheetData>
    <row r="1" spans="1:8" ht="25.35" customHeight="1">
      <c r="A1" s="77" t="s">
        <v>0</v>
      </c>
      <c r="B1" s="77"/>
      <c r="C1" s="77"/>
      <c r="D1" s="77"/>
      <c r="E1" s="77"/>
      <c r="F1" s="77"/>
      <c r="G1" s="77"/>
      <c r="H1" s="77"/>
    </row>
    <row r="2" spans="1:8" ht="15" customHeight="1">
      <c r="A2" s="78" t="s">
        <v>1</v>
      </c>
      <c r="B2" s="79"/>
      <c r="C2" s="79"/>
      <c r="D2" s="79"/>
      <c r="E2" s="79"/>
      <c r="F2" s="79"/>
      <c r="G2" s="79"/>
      <c r="H2" s="79"/>
    </row>
    <row r="3" spans="1:8" ht="15" customHeight="1">
      <c r="A3" s="79"/>
      <c r="B3" s="79"/>
      <c r="C3" s="79"/>
      <c r="D3" s="79"/>
      <c r="E3" s="79"/>
      <c r="F3" s="79"/>
      <c r="G3" s="79"/>
      <c r="H3" s="79"/>
    </row>
    <row r="4" spans="1:8" ht="28.5" customHeight="1">
      <c r="A4" s="7" t="s">
        <v>2</v>
      </c>
      <c r="B4" s="45" t="s">
        <v>36</v>
      </c>
      <c r="C4" s="7" t="s">
        <v>12</v>
      </c>
      <c r="D4" s="7" t="s">
        <v>13</v>
      </c>
      <c r="E4" s="45" t="s">
        <v>22</v>
      </c>
      <c r="F4" s="7" t="s">
        <v>5</v>
      </c>
      <c r="G4" s="45" t="s">
        <v>1572</v>
      </c>
      <c r="H4" s="45" t="s">
        <v>6</v>
      </c>
    </row>
    <row r="5" spans="1:8" ht="15.95" customHeight="1">
      <c r="A5" s="28">
        <v>1</v>
      </c>
      <c r="B5" s="2" t="str">
        <f>HYPERLINK("http://www.ahwp.info/index.php/","Global Harmonization Working Party (GHWP)")</f>
        <v>Global Harmonization Working Party (GHWP)</v>
      </c>
      <c r="C5" s="30" t="s">
        <v>14</v>
      </c>
      <c r="D5" s="30" t="s">
        <v>14</v>
      </c>
      <c r="E5" s="30" t="s">
        <v>111</v>
      </c>
      <c r="F5" s="2" t="s">
        <v>112</v>
      </c>
      <c r="G5" s="28" t="s">
        <v>1679</v>
      </c>
      <c r="H5" s="31"/>
    </row>
    <row r="6" spans="1:8" ht="15.95" customHeight="1">
      <c r="A6" s="28">
        <v>2</v>
      </c>
      <c r="B6" s="2" t="str">
        <f>HYPERLINK("https://www.who.int/","WHO - World Health Organization")</f>
        <v>WHO - World Health Organization</v>
      </c>
      <c r="C6" s="30" t="s">
        <v>14</v>
      </c>
      <c r="D6" s="30" t="s">
        <v>14</v>
      </c>
      <c r="E6" s="30" t="s">
        <v>25</v>
      </c>
      <c r="F6" s="2" t="s">
        <v>113</v>
      </c>
      <c r="G6" s="28" t="s">
        <v>1679</v>
      </c>
      <c r="H6" s="31"/>
    </row>
    <row r="7" spans="1:8" ht="15.95" customHeight="1">
      <c r="A7" s="28">
        <v>3</v>
      </c>
      <c r="B7" s="2" t="str">
        <f>HYPERLINK("https://asean.org/","Association of Southeast Asian Nations (ASEAN)")</f>
        <v>Association of Southeast Asian Nations (ASEAN)</v>
      </c>
      <c r="C7" s="30" t="s">
        <v>114</v>
      </c>
      <c r="D7" s="30" t="s">
        <v>160</v>
      </c>
      <c r="E7" s="30" t="s">
        <v>1210</v>
      </c>
      <c r="F7" s="2" t="s">
        <v>1211</v>
      </c>
      <c r="G7" s="28" t="s">
        <v>1679</v>
      </c>
      <c r="H7" s="31"/>
    </row>
    <row r="8" spans="1:8" ht="15.95" customHeight="1">
      <c r="A8" s="28">
        <v>4</v>
      </c>
      <c r="B8" s="2" t="str">
        <f>HYPERLINK("https://www.who.int/southeastasia","WHO Regional Office for South-East Asia")</f>
        <v>WHO Regional Office for South-East Asia</v>
      </c>
      <c r="C8" s="30" t="s">
        <v>114</v>
      </c>
      <c r="D8" s="30" t="s">
        <v>160</v>
      </c>
      <c r="E8" s="30" t="s">
        <v>1193</v>
      </c>
      <c r="F8" s="2" t="s">
        <v>1212</v>
      </c>
      <c r="G8" s="28" t="s">
        <v>1679</v>
      </c>
      <c r="H8" s="31"/>
    </row>
    <row r="9" spans="1:8" ht="15.95" customHeight="1">
      <c r="A9" s="28">
        <v>5</v>
      </c>
      <c r="B9" s="2" t="str">
        <f>HYPERLINK("https://www.apec.org/","Asia-Pacific Economic Cooperation")</f>
        <v>Asia-Pacific Economic Cooperation</v>
      </c>
      <c r="C9" s="30" t="s">
        <v>114</v>
      </c>
      <c r="D9" s="30" t="s">
        <v>380</v>
      </c>
      <c r="E9" s="30" t="s">
        <v>308</v>
      </c>
      <c r="F9" s="2" t="s">
        <v>1213</v>
      </c>
      <c r="G9" s="28" t="s">
        <v>1679</v>
      </c>
      <c r="H9" s="31"/>
    </row>
    <row r="10" spans="1:8" ht="15.95" customHeight="1">
      <c r="A10" s="28">
        <v>6</v>
      </c>
      <c r="B10" s="2" t="str">
        <f>HYPERLINK("https://www.ecdc.europa.eu/en","European Centre for Disease Prevention and Control")</f>
        <v>European Centre for Disease Prevention and Control</v>
      </c>
      <c r="C10" s="30" t="s">
        <v>114</v>
      </c>
      <c r="D10" s="30" t="s">
        <v>115</v>
      </c>
      <c r="E10" s="30" t="s">
        <v>37</v>
      </c>
      <c r="F10" s="2" t="s">
        <v>1214</v>
      </c>
      <c r="G10" s="28" t="s">
        <v>1679</v>
      </c>
      <c r="H10" s="31"/>
    </row>
    <row r="11" spans="1:8" ht="15.95" customHeight="1">
      <c r="A11" s="28">
        <v>7</v>
      </c>
      <c r="B11" s="2" t="str">
        <f>HYPERLINK("https://www.ema.europa.eu/en/committees/committee-medicinal-products-human-use-chmp","European Commission Medicinal Products for Human Use")</f>
        <v>European Commission Medicinal Products for Human Use</v>
      </c>
      <c r="C11" s="30" t="s">
        <v>114</v>
      </c>
      <c r="D11" s="30" t="s">
        <v>115</v>
      </c>
      <c r="E11" s="30" t="s">
        <v>116</v>
      </c>
      <c r="F11" s="2" t="s">
        <v>117</v>
      </c>
      <c r="G11" s="28" t="s">
        <v>1679</v>
      </c>
      <c r="H11" s="31"/>
    </row>
    <row r="12" spans="1:8" ht="15.95" customHeight="1">
      <c r="A12" s="28">
        <v>8</v>
      </c>
      <c r="B12" s="2" t="str">
        <f>HYPERLINK("https://www.edqm.eu/en/","European Directorate for the Quality of Medicines &amp; Healthcare")</f>
        <v>European Directorate for the Quality of Medicines &amp; Healthcare</v>
      </c>
      <c r="C12" s="30" t="s">
        <v>114</v>
      </c>
      <c r="D12" s="30" t="s">
        <v>115</v>
      </c>
      <c r="E12" s="30" t="s">
        <v>88</v>
      </c>
      <c r="F12" s="2" t="s">
        <v>118</v>
      </c>
      <c r="G12" s="28" t="s">
        <v>1679</v>
      </c>
      <c r="H12" s="31"/>
    </row>
    <row r="13" spans="1:8" ht="15.95" customHeight="1">
      <c r="A13" s="28">
        <v>9</v>
      </c>
      <c r="B13" s="2" t="str">
        <f>HYPERLINK("http://www.hma.eu/","European Heads of Medicines Agencies")</f>
        <v>European Heads of Medicines Agencies</v>
      </c>
      <c r="C13" s="30" t="s">
        <v>114</v>
      </c>
      <c r="D13" s="30" t="s">
        <v>115</v>
      </c>
      <c r="E13" s="30"/>
      <c r="F13" s="2" t="s">
        <v>119</v>
      </c>
      <c r="G13" s="28" t="s">
        <v>1679</v>
      </c>
      <c r="H13" s="31"/>
    </row>
    <row r="14" spans="1:8" ht="15.95" customHeight="1">
      <c r="A14" s="28">
        <v>10</v>
      </c>
      <c r="B14" s="2" t="str">
        <f>HYPERLINK("http://www.ema.europa.eu/","European Medicines Agency")</f>
        <v>European Medicines Agency</v>
      </c>
      <c r="C14" s="30" t="s">
        <v>114</v>
      </c>
      <c r="D14" s="30" t="s">
        <v>115</v>
      </c>
      <c r="E14" s="30" t="s">
        <v>116</v>
      </c>
      <c r="F14" s="2" t="s">
        <v>120</v>
      </c>
      <c r="G14" s="28" t="s">
        <v>1679</v>
      </c>
      <c r="H14" s="31"/>
    </row>
    <row r="15" spans="1:8" ht="15.95" customHeight="1">
      <c r="A15" s="28">
        <v>11</v>
      </c>
      <c r="B15" s="2" t="str">
        <f>HYPERLINK("https://www.who.int/europe/home?v=welcome","WHO Regional Office for Europe")</f>
        <v>WHO Regional Office for Europe</v>
      </c>
      <c r="C15" s="30" t="s">
        <v>114</v>
      </c>
      <c r="D15" s="30" t="s">
        <v>115</v>
      </c>
      <c r="E15" s="30" t="s">
        <v>121</v>
      </c>
      <c r="F15" s="2" t="s">
        <v>122</v>
      </c>
      <c r="G15" s="28" t="s">
        <v>1679</v>
      </c>
      <c r="H15" s="31"/>
    </row>
    <row r="16" spans="1:8" ht="15.95" customHeight="1">
      <c r="A16" s="28">
        <v>12</v>
      </c>
      <c r="B16" s="2" t="str">
        <f>HYPERLINK("https://gulfcdc.org/en","Gulf Center for Disease Prevention and Control")</f>
        <v>Gulf Center for Disease Prevention and Control</v>
      </c>
      <c r="C16" s="30" t="s">
        <v>114</v>
      </c>
      <c r="D16" s="30" t="s">
        <v>1195</v>
      </c>
      <c r="E16" s="30" t="s">
        <v>299</v>
      </c>
      <c r="F16" s="2" t="s">
        <v>1215</v>
      </c>
      <c r="G16" s="28" t="s">
        <v>1679</v>
      </c>
      <c r="H16" s="31"/>
    </row>
    <row r="17" spans="1:8" ht="15.95" customHeight="1">
      <c r="A17" s="28">
        <v>13</v>
      </c>
      <c r="B17" s="2" t="str">
        <f>HYPERLINK("https://www.paho.org/en","Pan American Health Organization")</f>
        <v>Pan American Health Organization</v>
      </c>
      <c r="C17" s="30" t="s">
        <v>114</v>
      </c>
      <c r="D17" s="30" t="s">
        <v>1216</v>
      </c>
      <c r="E17" s="30" t="s">
        <v>18</v>
      </c>
      <c r="F17" s="2" t="s">
        <v>1217</v>
      </c>
      <c r="G17" s="28" t="s">
        <v>1679</v>
      </c>
      <c r="H17" s="31"/>
    </row>
    <row r="18" spans="1:8" ht="15.95" customHeight="1">
      <c r="A18" s="28">
        <v>14</v>
      </c>
      <c r="B18" s="2" t="str">
        <f>HYPERLINK("https://www.argentina.gob.ar/salud","Ministry of Health (Argentina)")</f>
        <v>Ministry of Health (Argentina)</v>
      </c>
      <c r="C18" s="30" t="s">
        <v>15</v>
      </c>
      <c r="D18" s="30" t="s">
        <v>161</v>
      </c>
      <c r="E18" s="30" t="s">
        <v>161</v>
      </c>
      <c r="F18" s="2" t="s">
        <v>1218</v>
      </c>
      <c r="G18" s="28" t="s">
        <v>1679</v>
      </c>
      <c r="H18" s="31"/>
    </row>
    <row r="19" spans="1:8" ht="15.95" customHeight="1">
      <c r="A19" s="28">
        <v>15</v>
      </c>
      <c r="B19" s="2" t="str">
        <f>HYPERLINK("https://www.argentina.gob.ar/ciencia","Ministry of Science, Technology and Innovation (Argentina)")</f>
        <v>Ministry of Science, Technology and Innovation (Argentina)</v>
      </c>
      <c r="C19" s="30" t="s">
        <v>15</v>
      </c>
      <c r="D19" s="30" t="s">
        <v>161</v>
      </c>
      <c r="E19" s="30" t="s">
        <v>161</v>
      </c>
      <c r="F19" s="2" t="s">
        <v>1219</v>
      </c>
      <c r="G19" s="28" t="s">
        <v>1679</v>
      </c>
      <c r="H19" s="31"/>
    </row>
    <row r="20" spans="1:8" ht="15.95" customHeight="1">
      <c r="A20" s="28">
        <v>16</v>
      </c>
      <c r="B20" s="2" t="str">
        <f>HYPERLINK("https://www.argentina.gob.ar/anmat","National Administration of Drugs, Food and Medical Technology (ANMAT)")</f>
        <v>National Administration of Drugs, Food and Medical Technology (ANMAT)</v>
      </c>
      <c r="C20" s="30" t="s">
        <v>15</v>
      </c>
      <c r="D20" s="30" t="s">
        <v>161</v>
      </c>
      <c r="E20" s="30" t="s">
        <v>161</v>
      </c>
      <c r="F20" s="2" t="s">
        <v>1220</v>
      </c>
      <c r="G20" s="28" t="s">
        <v>1679</v>
      </c>
      <c r="H20" s="31"/>
    </row>
    <row r="21" spans="1:8" ht="15.95" customHeight="1">
      <c r="A21" s="28">
        <v>17</v>
      </c>
      <c r="B21" s="2" t="str">
        <f>HYPERLINK("http://anlis.gov.ar/","National Administration of Laboratories and Health Institutes (ANLIS)")</f>
        <v>National Administration of Laboratories and Health Institutes (ANLIS)</v>
      </c>
      <c r="C21" s="30" t="s">
        <v>15</v>
      </c>
      <c r="D21" s="30" t="s">
        <v>161</v>
      </c>
      <c r="E21" s="30" t="s">
        <v>161</v>
      </c>
      <c r="F21" s="2" t="s">
        <v>1221</v>
      </c>
      <c r="G21" s="28" t="s">
        <v>1679</v>
      </c>
      <c r="H21" s="31"/>
    </row>
    <row r="22" spans="1:8" ht="15.95" customHeight="1">
      <c r="A22" s="28">
        <v>18</v>
      </c>
      <c r="B22" s="2" t="str">
        <f>HYPERLINK("https://www.conicet.gov.ar/","National Council for Scientific and Technical Research (CONICET)")</f>
        <v>National Council for Scientific and Technical Research (CONICET)</v>
      </c>
      <c r="C22" s="30" t="s">
        <v>15</v>
      </c>
      <c r="D22" s="30" t="s">
        <v>161</v>
      </c>
      <c r="E22" s="30" t="s">
        <v>161</v>
      </c>
      <c r="F22" s="2" t="s">
        <v>1222</v>
      </c>
      <c r="G22" s="28" t="s">
        <v>1679</v>
      </c>
      <c r="H22" s="31"/>
    </row>
    <row r="23" spans="1:8" ht="15.95" customHeight="1">
      <c r="A23" s="28">
        <v>19</v>
      </c>
      <c r="B23" s="2" t="str">
        <f>HYPERLINK("https://www.argentina.gob.ar/sssalud","Superintendency of Health Services (SSS)")</f>
        <v>Superintendency of Health Services (SSS)</v>
      </c>
      <c r="C23" s="30" t="s">
        <v>15</v>
      </c>
      <c r="D23" s="30" t="s">
        <v>161</v>
      </c>
      <c r="E23" s="30" t="s">
        <v>161</v>
      </c>
      <c r="F23" s="2" t="s">
        <v>1223</v>
      </c>
      <c r="G23" s="28" t="s">
        <v>1679</v>
      </c>
      <c r="H23" s="31"/>
    </row>
    <row r="24" spans="1:8" ht="15.95" customHeight="1">
      <c r="A24" s="28">
        <v>20</v>
      </c>
      <c r="B24" s="2" t="str">
        <f>HYPERLINK("https://www.health.gov.au/","Australian Government Department of Health")</f>
        <v>Australian Government Department of Health</v>
      </c>
      <c r="C24" s="30" t="s">
        <v>15</v>
      </c>
      <c r="D24" s="30" t="s">
        <v>162</v>
      </c>
      <c r="E24" s="30" t="s">
        <v>162</v>
      </c>
      <c r="F24" s="2" t="s">
        <v>1224</v>
      </c>
      <c r="G24" s="28" t="s">
        <v>1679</v>
      </c>
      <c r="H24" s="31"/>
    </row>
    <row r="25" spans="1:8" ht="15.95" customHeight="1">
      <c r="A25" s="28">
        <v>21</v>
      </c>
      <c r="B25" s="2" t="str">
        <f>HYPERLINK("https://www.aihw.gov.au/","Australian Institute of Health and Welfare")</f>
        <v>Australian Institute of Health and Welfare</v>
      </c>
      <c r="C25" s="30" t="s">
        <v>15</v>
      </c>
      <c r="D25" s="30" t="s">
        <v>162</v>
      </c>
      <c r="E25" s="30" t="s">
        <v>162</v>
      </c>
      <c r="F25" s="2" t="s">
        <v>1225</v>
      </c>
      <c r="G25" s="28" t="s">
        <v>1679</v>
      </c>
      <c r="H25" s="31"/>
    </row>
    <row r="26" spans="1:8" ht="15.95" customHeight="1">
      <c r="A26" s="28">
        <v>22</v>
      </c>
      <c r="B26" s="2" t="str">
        <f>HYPERLINK("https://www.nhmrc.gov.au/","National Health and Medical Research Council")</f>
        <v>National Health and Medical Research Council</v>
      </c>
      <c r="C26" s="30" t="s">
        <v>15</v>
      </c>
      <c r="D26" s="30" t="s">
        <v>162</v>
      </c>
      <c r="E26" s="30" t="s">
        <v>162</v>
      </c>
      <c r="F26" s="2" t="s">
        <v>1226</v>
      </c>
      <c r="G26" s="28" t="s">
        <v>1679</v>
      </c>
      <c r="H26" s="31"/>
    </row>
    <row r="27" spans="1:8" ht="15.95" customHeight="1">
      <c r="A27" s="28">
        <v>23</v>
      </c>
      <c r="B27" s="2" t="str">
        <f>HYPERLINK("https://www.tga.gov.au/","Therapeutic Goods Administration (TGA)")</f>
        <v>Therapeutic Goods Administration (TGA)</v>
      </c>
      <c r="C27" s="30" t="s">
        <v>15</v>
      </c>
      <c r="D27" s="30" t="s">
        <v>162</v>
      </c>
      <c r="E27" s="30" t="s">
        <v>162</v>
      </c>
      <c r="F27" s="2" t="s">
        <v>1227</v>
      </c>
      <c r="G27" s="28" t="s">
        <v>1679</v>
      </c>
      <c r="H27" s="31"/>
    </row>
    <row r="28" spans="1:8" ht="15.95" customHeight="1">
      <c r="A28" s="28">
        <v>24</v>
      </c>
      <c r="B28" s="2" t="str">
        <f>HYPERLINK("https://www.gov.br/anvisa/pt-br/english","Brazilian Health Regulatory Agency (ANVISA)")</f>
        <v>Brazilian Health Regulatory Agency (ANVISA)</v>
      </c>
      <c r="C28" s="30" t="s">
        <v>15</v>
      </c>
      <c r="D28" s="30" t="s">
        <v>276</v>
      </c>
      <c r="E28" s="30" t="s">
        <v>276</v>
      </c>
      <c r="F28" s="2" t="s">
        <v>1228</v>
      </c>
      <c r="G28" s="28" t="s">
        <v>1679</v>
      </c>
      <c r="H28" s="31"/>
    </row>
    <row r="29" spans="1:8" ht="15.95" customHeight="1">
      <c r="A29" s="28">
        <v>25</v>
      </c>
      <c r="B29" s="2" t="str">
        <f>HYPERLINK("https://www.gov.br/saude/pt-br","Ministry of Health - Brazil")</f>
        <v>Ministry of Health - Brazil</v>
      </c>
      <c r="C29" s="30" t="s">
        <v>15</v>
      </c>
      <c r="D29" s="30" t="s">
        <v>276</v>
      </c>
      <c r="E29" s="30" t="s">
        <v>276</v>
      </c>
      <c r="F29" s="2" t="s">
        <v>1229</v>
      </c>
      <c r="G29" s="28" t="s">
        <v>1679</v>
      </c>
      <c r="H29" s="31"/>
    </row>
    <row r="30" spans="1:8" ht="15.95" customHeight="1">
      <c r="A30" s="28">
        <v>26</v>
      </c>
      <c r="B30" s="2" t="str">
        <f>HYPERLINK("https://conselho.saude.gov.br/","National Health Council (Brazil)")</f>
        <v>National Health Council (Brazil)</v>
      </c>
      <c r="C30" s="30" t="s">
        <v>15</v>
      </c>
      <c r="D30" s="30" t="s">
        <v>276</v>
      </c>
      <c r="E30" s="30" t="s">
        <v>276</v>
      </c>
      <c r="F30" s="2" t="s">
        <v>1230</v>
      </c>
      <c r="G30" s="28" t="s">
        <v>1679</v>
      </c>
      <c r="H30" s="31"/>
    </row>
    <row r="31" spans="1:8" ht="15.95" customHeight="1">
      <c r="A31" s="28">
        <v>27</v>
      </c>
      <c r="B31" s="2" t="str">
        <f>HYPERLINK("http://www.funasa.gov.br/","National Health Foundation")</f>
        <v>National Health Foundation</v>
      </c>
      <c r="C31" s="30" t="s">
        <v>15</v>
      </c>
      <c r="D31" s="30" t="s">
        <v>276</v>
      </c>
      <c r="E31" s="30" t="s">
        <v>276</v>
      </c>
      <c r="F31" s="2" t="s">
        <v>1231</v>
      </c>
      <c r="G31" s="28" t="s">
        <v>1679</v>
      </c>
      <c r="H31" s="31"/>
    </row>
    <row r="32" spans="1:8" ht="15.95" customHeight="1">
      <c r="A32" s="28">
        <v>28</v>
      </c>
      <c r="B32" s="2" t="str">
        <f>HYPERLINK("https://www.canada.ca/en/health-canada/corporate/about-health-canada/branches-agencies/health-products-food-branch.html","Canada: Health Products and Food Branch")</f>
        <v>Canada: Health Products and Food Branch</v>
      </c>
      <c r="C32" s="30" t="s">
        <v>15</v>
      </c>
      <c r="D32" s="30" t="s">
        <v>23</v>
      </c>
      <c r="E32" s="30" t="s">
        <v>23</v>
      </c>
      <c r="F32" s="2" t="s">
        <v>142</v>
      </c>
      <c r="G32" s="28" t="s">
        <v>1679</v>
      </c>
      <c r="H32" s="31"/>
    </row>
    <row r="33" spans="1:8" ht="15.95" customHeight="1">
      <c r="A33" s="28">
        <v>29</v>
      </c>
      <c r="B33" s="2" t="str">
        <f>HYPERLINK("https://cihr-irsc.gc.ca/e/13533.html","CIHR - Institute of Infection and Immunity")</f>
        <v>CIHR - Institute of Infection and Immunity</v>
      </c>
      <c r="C33" s="30" t="s">
        <v>15</v>
      </c>
      <c r="D33" s="30" t="s">
        <v>23</v>
      </c>
      <c r="E33" s="30" t="s">
        <v>23</v>
      </c>
      <c r="F33" s="2" t="s">
        <v>1232</v>
      </c>
      <c r="G33" s="28">
        <v>3</v>
      </c>
      <c r="H33" s="31"/>
    </row>
    <row r="34" spans="1:8" ht="15.95" customHeight="1">
      <c r="A34" s="28">
        <v>30</v>
      </c>
      <c r="B34" s="2" t="str">
        <f>HYPERLINK("https://www.canada.ca/en/health-canada.htm","Health Canada")</f>
        <v>Health Canada</v>
      </c>
      <c r="C34" s="30" t="s">
        <v>15</v>
      </c>
      <c r="D34" s="30" t="s">
        <v>23</v>
      </c>
      <c r="E34" s="30" t="s">
        <v>23</v>
      </c>
      <c r="F34" s="2" t="s">
        <v>143</v>
      </c>
      <c r="G34" s="28" t="s">
        <v>1679</v>
      </c>
      <c r="H34" s="31"/>
    </row>
    <row r="35" spans="1:8" ht="15.95" customHeight="1">
      <c r="A35" s="28">
        <v>31</v>
      </c>
      <c r="B35" s="2" t="str">
        <f>HYPERLINK("https://www.canada.ca/en/public-health.html","Public Health Agency of Canada")</f>
        <v>Public Health Agency of Canada</v>
      </c>
      <c r="C35" s="30" t="s">
        <v>15</v>
      </c>
      <c r="D35" s="30" t="s">
        <v>23</v>
      </c>
      <c r="E35" s="30" t="s">
        <v>23</v>
      </c>
      <c r="F35" s="2" t="s">
        <v>144</v>
      </c>
      <c r="G35" s="28" t="s">
        <v>1679</v>
      </c>
      <c r="H35" s="31"/>
    </row>
    <row r="36" spans="1:8" ht="15.95" customHeight="1">
      <c r="A36" s="28">
        <v>32</v>
      </c>
      <c r="B36" s="2" t="str">
        <f>HYPERLINK("https://www.minsalud.gov.co/English/Paginas/inicio.aspx","Ministry of Health &amp; Social Protection")</f>
        <v>Ministry of Health &amp; Social Protection</v>
      </c>
      <c r="C36" s="30" t="s">
        <v>15</v>
      </c>
      <c r="D36" s="30" t="s">
        <v>280</v>
      </c>
      <c r="E36" s="30" t="s">
        <v>280</v>
      </c>
      <c r="F36" s="2" t="s">
        <v>1233</v>
      </c>
      <c r="G36" s="28" t="s">
        <v>1679</v>
      </c>
      <c r="H36" s="31"/>
    </row>
    <row r="37" spans="1:8" ht="15.95" customHeight="1">
      <c r="A37" s="28">
        <v>33</v>
      </c>
      <c r="B37" s="2" t="str">
        <f>HYPERLINK("https://www.has-sante.fr/","High Authority of Health (HAS)")</f>
        <v>High Authority of Health (HAS)</v>
      </c>
      <c r="C37" s="30" t="s">
        <v>15</v>
      </c>
      <c r="D37" s="30" t="s">
        <v>88</v>
      </c>
      <c r="E37" s="30" t="s">
        <v>88</v>
      </c>
      <c r="F37" s="2" t="s">
        <v>123</v>
      </c>
      <c r="G37" s="28" t="s">
        <v>1679</v>
      </c>
      <c r="H37" s="31"/>
    </row>
    <row r="38" spans="1:8" ht="15.95" customHeight="1">
      <c r="A38" s="28">
        <v>34</v>
      </c>
      <c r="B38" s="2" t="str">
        <f>HYPERLINK("http://solidarites-sante.gouv.fr/","Ministry of Solidarity and Health")</f>
        <v>Ministry of Solidarity and Health</v>
      </c>
      <c r="C38" s="30" t="s">
        <v>15</v>
      </c>
      <c r="D38" s="30" t="s">
        <v>88</v>
      </c>
      <c r="E38" s="30" t="s">
        <v>88</v>
      </c>
      <c r="F38" s="2" t="s">
        <v>124</v>
      </c>
      <c r="G38" s="28" t="s">
        <v>1679</v>
      </c>
      <c r="H38" s="31"/>
    </row>
    <row r="39" spans="1:8" ht="15.95" customHeight="1">
      <c r="A39" s="28">
        <v>35</v>
      </c>
      <c r="B39" s="2" t="str">
        <f>HYPERLINK("http://ansm.sante.fr/","National Agency for the Safety of Medicine and Health Products")</f>
        <v>National Agency for the Safety of Medicine and Health Products</v>
      </c>
      <c r="C39" s="30" t="s">
        <v>15</v>
      </c>
      <c r="D39" s="30" t="s">
        <v>88</v>
      </c>
      <c r="E39" s="30" t="s">
        <v>88</v>
      </c>
      <c r="F39" s="2" t="s">
        <v>125</v>
      </c>
      <c r="G39" s="28" t="s">
        <v>1679</v>
      </c>
      <c r="H39" s="31"/>
    </row>
    <row r="40" spans="1:8" ht="15.95" customHeight="1">
      <c r="A40" s="28">
        <v>36</v>
      </c>
      <c r="B40" s="2" t="str">
        <f>HYPERLINK("http://www.bfarm.de/DE/Home/home_node.html","Federal Institute for Drugs and Medical Devices")</f>
        <v>Federal Institute for Drugs and Medical Devices</v>
      </c>
      <c r="C40" s="30" t="s">
        <v>15</v>
      </c>
      <c r="D40" s="30" t="s">
        <v>91</v>
      </c>
      <c r="E40" s="30" t="s">
        <v>91</v>
      </c>
      <c r="F40" s="2" t="s">
        <v>126</v>
      </c>
      <c r="G40" s="28" t="s">
        <v>1679</v>
      </c>
      <c r="H40" s="31"/>
    </row>
    <row r="41" spans="1:8" ht="15.95" customHeight="1">
      <c r="A41" s="28">
        <v>37</v>
      </c>
      <c r="B41" s="2" t="str">
        <f>HYPERLINK("https://www.bundesgesundheitsministerium.de/","Federal Ministry of Health - Germany")</f>
        <v>Federal Ministry of Health - Germany</v>
      </c>
      <c r="C41" s="30" t="s">
        <v>15</v>
      </c>
      <c r="D41" s="30" t="s">
        <v>91</v>
      </c>
      <c r="E41" s="30" t="s">
        <v>91</v>
      </c>
      <c r="F41" s="2" t="s">
        <v>127</v>
      </c>
      <c r="G41" s="28" t="s">
        <v>1679</v>
      </c>
      <c r="H41" s="31"/>
    </row>
    <row r="42" spans="1:8" ht="15.95" customHeight="1">
      <c r="A42" s="28">
        <v>38</v>
      </c>
      <c r="B42" s="2" t="str">
        <f>HYPERLINK("https://www.pei.de/DE/home/home-node.html","Paul-Ehrlich-Instituts in Langen (PEI)")</f>
        <v>Paul-Ehrlich-Instituts in Langen (PEI)</v>
      </c>
      <c r="C42" s="30" t="s">
        <v>15</v>
      </c>
      <c r="D42" s="30" t="s">
        <v>91</v>
      </c>
      <c r="E42" s="30" t="s">
        <v>91</v>
      </c>
      <c r="F42" s="2" t="s">
        <v>128</v>
      </c>
      <c r="G42" s="28" t="s">
        <v>1679</v>
      </c>
      <c r="H42" s="31"/>
    </row>
    <row r="43" spans="1:8" ht="15.95" customHeight="1">
      <c r="A43" s="28">
        <v>39</v>
      </c>
      <c r="B43" s="2" t="str">
        <f>HYPERLINK("http://www.rki.de/EN/Home/homepage_node.html","Robert Koch Institute")</f>
        <v>Robert Koch Institute</v>
      </c>
      <c r="C43" s="30" t="s">
        <v>15</v>
      </c>
      <c r="D43" s="30" t="s">
        <v>91</v>
      </c>
      <c r="E43" s="30" t="s">
        <v>91</v>
      </c>
      <c r="F43" s="2" t="s">
        <v>129</v>
      </c>
      <c r="G43" s="28" t="s">
        <v>1679</v>
      </c>
      <c r="H43" s="31"/>
    </row>
    <row r="44" spans="1:8" ht="15.95" customHeight="1">
      <c r="A44" s="28">
        <v>40</v>
      </c>
      <c r="B44" s="2" t="str">
        <f>HYPERLINK("https://www.aifa.gov.it/","Italian Medicines Agency")</f>
        <v>Italian Medicines Agency</v>
      </c>
      <c r="C44" s="30" t="s">
        <v>15</v>
      </c>
      <c r="D44" s="30" t="s">
        <v>16</v>
      </c>
      <c r="E44" s="30" t="s">
        <v>16</v>
      </c>
      <c r="F44" s="2" t="s">
        <v>130</v>
      </c>
      <c r="G44" s="28" t="s">
        <v>1679</v>
      </c>
      <c r="H44" s="31"/>
    </row>
    <row r="45" spans="1:8" ht="15.95" customHeight="1">
      <c r="A45" s="28">
        <v>41</v>
      </c>
      <c r="B45" s="2" t="str">
        <f>HYPERLINK("http://www.salute.gov.it/portale/home.html","Ministry of Health (Italy)")</f>
        <v>Ministry of Health (Italy)</v>
      </c>
      <c r="C45" s="30" t="s">
        <v>15</v>
      </c>
      <c r="D45" s="30" t="s">
        <v>16</v>
      </c>
      <c r="E45" s="30" t="s">
        <v>16</v>
      </c>
      <c r="F45" s="2" t="s">
        <v>131</v>
      </c>
      <c r="G45" s="28" t="s">
        <v>1679</v>
      </c>
      <c r="H45" s="31"/>
    </row>
    <row r="46" spans="1:8" ht="15.95" customHeight="1">
      <c r="A46" s="28">
        <v>42</v>
      </c>
      <c r="B46" s="2" t="str">
        <f>HYPERLINK("http://www.iss.it/","National Institute of Health (ISS)")</f>
        <v>National Institute of Health (ISS)</v>
      </c>
      <c r="C46" s="30" t="s">
        <v>15</v>
      </c>
      <c r="D46" s="30" t="s">
        <v>16</v>
      </c>
      <c r="E46" s="30" t="s">
        <v>16</v>
      </c>
      <c r="F46" s="2" t="s">
        <v>132</v>
      </c>
      <c r="G46" s="28" t="s">
        <v>1679</v>
      </c>
      <c r="H46" s="31"/>
    </row>
    <row r="47" spans="1:8" ht="15.95" customHeight="1">
      <c r="A47" s="28">
        <v>43</v>
      </c>
      <c r="B47" s="2" t="str">
        <f>HYPERLINK("https://www8.cao.go.jp/cstp/stmain.html","Cabinet Office: Science, Technology and Innovation")</f>
        <v>Cabinet Office: Science, Technology and Innovation</v>
      </c>
      <c r="C47" s="30" t="s">
        <v>15</v>
      </c>
      <c r="D47" s="30" t="s">
        <v>110</v>
      </c>
      <c r="E47" s="30" t="s">
        <v>110</v>
      </c>
      <c r="F47" s="2" t="s">
        <v>145</v>
      </c>
      <c r="G47" s="28" t="s">
        <v>1679</v>
      </c>
      <c r="H47" s="31"/>
    </row>
    <row r="48" spans="1:8" ht="15.95" customHeight="1">
      <c r="A48" s="28">
        <v>44</v>
      </c>
      <c r="B48" s="2" t="str">
        <f>HYPERLINK("https://www.jst.go.jp/","Japan Science and Technology Agency")</f>
        <v>Japan Science and Technology Agency</v>
      </c>
      <c r="C48" s="30" t="s">
        <v>15</v>
      </c>
      <c r="D48" s="30" t="s">
        <v>110</v>
      </c>
      <c r="E48" s="30" t="s">
        <v>110</v>
      </c>
      <c r="F48" s="2" t="s">
        <v>146</v>
      </c>
      <c r="G48" s="28" t="s">
        <v>1679</v>
      </c>
      <c r="H48" s="31"/>
    </row>
    <row r="49" spans="1:8" ht="15.95" customHeight="1">
      <c r="A49" s="28">
        <v>45</v>
      </c>
      <c r="B49" s="2" t="str">
        <f>HYPERLINK("https://www.amed.go.jp/index.html","Japanese Agency for Medical Research and Development")</f>
        <v>Japanese Agency for Medical Research and Development</v>
      </c>
      <c r="C49" s="30" t="s">
        <v>15</v>
      </c>
      <c r="D49" s="30" t="s">
        <v>110</v>
      </c>
      <c r="E49" s="30" t="s">
        <v>110</v>
      </c>
      <c r="F49" s="2" t="s">
        <v>147</v>
      </c>
      <c r="G49" s="28" t="s">
        <v>1679</v>
      </c>
      <c r="H49" s="31"/>
    </row>
    <row r="50" spans="1:8" ht="15.95" customHeight="1">
      <c r="A50" s="28">
        <v>46</v>
      </c>
      <c r="B50" s="2" t="str">
        <f>HYPERLINK("https://www.mext.go.jp/index.htm","Ministry of Education, Culture, Sports, Science and Technology")</f>
        <v>Ministry of Education, Culture, Sports, Science and Technology</v>
      </c>
      <c r="C50" s="30" t="s">
        <v>15</v>
      </c>
      <c r="D50" s="30" t="s">
        <v>110</v>
      </c>
      <c r="E50" s="30" t="s">
        <v>110</v>
      </c>
      <c r="F50" s="2" t="s">
        <v>148</v>
      </c>
      <c r="G50" s="28" t="s">
        <v>1679</v>
      </c>
      <c r="H50" s="31"/>
    </row>
    <row r="51" spans="1:8" ht="15.95" customHeight="1">
      <c r="A51" s="28">
        <v>47</v>
      </c>
      <c r="B51" s="2" t="str">
        <f>HYPERLINK("https://www.mhlw.go.jp/","Ministry of Health, Labour and Welfare of Japan")</f>
        <v>Ministry of Health, Labour and Welfare of Japan</v>
      </c>
      <c r="C51" s="30" t="s">
        <v>15</v>
      </c>
      <c r="D51" s="30" t="s">
        <v>110</v>
      </c>
      <c r="E51" s="30" t="s">
        <v>110</v>
      </c>
      <c r="F51" s="2" t="s">
        <v>149</v>
      </c>
      <c r="G51" s="28" t="s">
        <v>1679</v>
      </c>
      <c r="H51" s="31"/>
    </row>
    <row r="52" spans="1:8" ht="15.95" customHeight="1">
      <c r="A52" s="28">
        <v>48</v>
      </c>
      <c r="B52" s="2" t="str">
        <f>HYPERLINK("http://www.nihs.go.jp/index-j.html","National Institute of Health Sciences - Japan")</f>
        <v>National Institute of Health Sciences - Japan</v>
      </c>
      <c r="C52" s="30" t="s">
        <v>15</v>
      </c>
      <c r="D52" s="30" t="s">
        <v>110</v>
      </c>
      <c r="E52" s="30" t="s">
        <v>110</v>
      </c>
      <c r="F52" s="2" t="s">
        <v>150</v>
      </c>
      <c r="G52" s="28" t="s">
        <v>1679</v>
      </c>
      <c r="H52" s="31"/>
    </row>
    <row r="53" spans="1:8" ht="15.95" customHeight="1">
      <c r="A53" s="28">
        <v>49</v>
      </c>
      <c r="B53" s="2" t="str">
        <f>HYPERLINK("https://www.niph.go.jp/","National Institute of Public Health")</f>
        <v>National Institute of Public Health</v>
      </c>
      <c r="C53" s="30" t="s">
        <v>15</v>
      </c>
      <c r="D53" s="30" t="s">
        <v>110</v>
      </c>
      <c r="E53" s="30" t="s">
        <v>110</v>
      </c>
      <c r="F53" s="2" t="s">
        <v>151</v>
      </c>
      <c r="G53" s="28" t="s">
        <v>1679</v>
      </c>
      <c r="H53" s="31"/>
    </row>
    <row r="54" spans="1:8" ht="15.95" customHeight="1">
      <c r="A54" s="28">
        <v>50</v>
      </c>
      <c r="B54" s="2" t="str">
        <f>HYPERLINK("https://www.pmda.go.jp/index.html","Pharmaceuticals and Medical Devices Agency")</f>
        <v>Pharmaceuticals and Medical Devices Agency</v>
      </c>
      <c r="C54" s="30" t="s">
        <v>15</v>
      </c>
      <c r="D54" s="30" t="s">
        <v>110</v>
      </c>
      <c r="E54" s="30" t="s">
        <v>110</v>
      </c>
      <c r="F54" s="2" t="s">
        <v>152</v>
      </c>
      <c r="G54" s="28" t="s">
        <v>1679</v>
      </c>
      <c r="H54" s="31"/>
    </row>
    <row r="55" spans="1:8" ht="15.95" customHeight="1">
      <c r="A55" s="28">
        <v>51</v>
      </c>
      <c r="B55" s="2" t="str">
        <f>HYPERLINK("https://www.wam.go.jp/hp/saitemap_new-tabid-1197/","Welfare and Medical Service Agency")</f>
        <v>Welfare and Medical Service Agency</v>
      </c>
      <c r="C55" s="30" t="s">
        <v>15</v>
      </c>
      <c r="D55" s="30" t="s">
        <v>110</v>
      </c>
      <c r="E55" s="30" t="s">
        <v>110</v>
      </c>
      <c r="F55" s="2" t="s">
        <v>153</v>
      </c>
      <c r="G55" s="28" t="s">
        <v>1679</v>
      </c>
      <c r="H55" s="31"/>
    </row>
    <row r="56" spans="1:8" ht="15.95" customHeight="1">
      <c r="A56" s="28">
        <v>52</v>
      </c>
      <c r="B56" s="2" t="str">
        <f>HYPERLINK("https://www.pha.gov.sa/ar-sa/Pages/default.aspx","Public Health Authority of Saudi Arabia")</f>
        <v>Public Health Authority of Saudi Arabia</v>
      </c>
      <c r="C56" s="30" t="s">
        <v>15</v>
      </c>
      <c r="D56" s="30" t="s">
        <v>299</v>
      </c>
      <c r="E56" s="30" t="s">
        <v>299</v>
      </c>
      <c r="F56" s="2" t="s">
        <v>2034</v>
      </c>
      <c r="G56" s="28" t="s">
        <v>1679</v>
      </c>
      <c r="H56" s="31"/>
    </row>
    <row r="57" spans="1:8" ht="15.95" customHeight="1">
      <c r="A57" s="28">
        <v>53</v>
      </c>
      <c r="B57" s="2" t="str">
        <f>HYPERLINK("https://www.sfda.gov.sa/","Saudi Food and Drug Authority")</f>
        <v>Saudi Food and Drug Authority</v>
      </c>
      <c r="C57" s="30" t="s">
        <v>15</v>
      </c>
      <c r="D57" s="30" t="s">
        <v>299</v>
      </c>
      <c r="E57" s="30" t="s">
        <v>299</v>
      </c>
      <c r="F57" s="2" t="s">
        <v>1234</v>
      </c>
      <c r="G57" s="28" t="s">
        <v>1679</v>
      </c>
      <c r="H57" s="31"/>
    </row>
    <row r="58" spans="1:8" ht="15.95" customHeight="1">
      <c r="A58" s="28">
        <v>54</v>
      </c>
      <c r="B58" s="2" t="str">
        <f>HYPERLINK("https://www.moh.gov.sa/en/Pages/Default.aspx","Saudi Ministry of Health (MOH)")</f>
        <v>Saudi Ministry of Health (MOH)</v>
      </c>
      <c r="C58" s="30" t="s">
        <v>15</v>
      </c>
      <c r="D58" s="30" t="s">
        <v>299</v>
      </c>
      <c r="E58" s="30" t="s">
        <v>299</v>
      </c>
      <c r="F58" s="2" t="s">
        <v>1235</v>
      </c>
      <c r="G58" s="28" t="s">
        <v>1679</v>
      </c>
      <c r="H58" s="31"/>
    </row>
    <row r="59" spans="1:8" ht="15.95" customHeight="1">
      <c r="A59" s="28">
        <v>55</v>
      </c>
      <c r="B59" s="2" t="str">
        <f>HYPERLINK("https://www.kdca.go.kr/index.es?sid=a3","Korea Disease Control and Prevention Agency")</f>
        <v>Korea Disease Control and Prevention Agency</v>
      </c>
      <c r="C59" s="30" t="s">
        <v>15</v>
      </c>
      <c r="D59" s="30" t="s">
        <v>344</v>
      </c>
      <c r="E59" s="30" t="s">
        <v>344</v>
      </c>
      <c r="F59" s="2" t="s">
        <v>1236</v>
      </c>
      <c r="G59" s="28" t="s">
        <v>1679</v>
      </c>
      <c r="H59" s="31"/>
    </row>
    <row r="60" spans="1:8" ht="15.95" customHeight="1">
      <c r="A60" s="28">
        <v>56</v>
      </c>
      <c r="B60" s="2" t="str">
        <f>HYPERLINK("https://www.mfds.go.kr/eng/index.do","Ministry of Food and Drug Safety of the Republic of Korea")</f>
        <v>Ministry of Food and Drug Safety of the Republic of Korea</v>
      </c>
      <c r="C60" s="30" t="s">
        <v>15</v>
      </c>
      <c r="D60" s="30" t="s">
        <v>344</v>
      </c>
      <c r="E60" s="30" t="s">
        <v>344</v>
      </c>
      <c r="F60" s="2" t="s">
        <v>1237</v>
      </c>
      <c r="G60" s="28" t="s">
        <v>1679</v>
      </c>
      <c r="H60" s="31"/>
    </row>
    <row r="61" spans="1:8" ht="15.95" customHeight="1">
      <c r="A61" s="28">
        <v>57</v>
      </c>
      <c r="B61" s="2" t="str">
        <f>HYPERLINK("https://www.mohw.go.kr/","Ministry of Health and Welfare (South Korea)")</f>
        <v>Ministry of Health and Welfare (South Korea)</v>
      </c>
      <c r="C61" s="30" t="s">
        <v>15</v>
      </c>
      <c r="D61" s="30" t="s">
        <v>344</v>
      </c>
      <c r="E61" s="30" t="s">
        <v>344</v>
      </c>
      <c r="F61" s="2" t="s">
        <v>1238</v>
      </c>
      <c r="G61" s="28" t="s">
        <v>1679</v>
      </c>
      <c r="H61" s="31"/>
    </row>
    <row r="62" spans="1:8" ht="15.95" customHeight="1">
      <c r="A62" s="28">
        <v>58</v>
      </c>
      <c r="B62" s="2" t="str">
        <f>HYPERLINK("https://www.sanidad.gob.es/","Ministry of Health of Spain (MISAN)")</f>
        <v>Ministry of Health of Spain (MISAN)</v>
      </c>
      <c r="C62" s="30" t="s">
        <v>15</v>
      </c>
      <c r="D62" s="30" t="s">
        <v>107</v>
      </c>
      <c r="E62" s="30" t="s">
        <v>107</v>
      </c>
      <c r="F62" s="2" t="s">
        <v>154</v>
      </c>
      <c r="G62" s="28" t="s">
        <v>1679</v>
      </c>
      <c r="H62" s="31"/>
    </row>
    <row r="63" spans="1:8" ht="15.95" customHeight="1">
      <c r="A63" s="28">
        <v>59</v>
      </c>
      <c r="B63" s="2" t="str">
        <f>HYPERLINK("https://www.ciencia.gob.es/","Ministry of Science, Innovation and Universities")</f>
        <v>Ministry of Science, Innovation and Universities</v>
      </c>
      <c r="C63" s="30" t="s">
        <v>15</v>
      </c>
      <c r="D63" s="30" t="s">
        <v>107</v>
      </c>
      <c r="E63" s="30" t="s">
        <v>107</v>
      </c>
      <c r="F63" s="2" t="s">
        <v>155</v>
      </c>
      <c r="G63" s="28" t="s">
        <v>1679</v>
      </c>
      <c r="H63" s="31"/>
    </row>
    <row r="64" spans="1:8" ht="15.95" customHeight="1">
      <c r="A64" s="28">
        <v>60</v>
      </c>
      <c r="B64" s="2" t="str">
        <f>HYPERLINK("https://www.aemps.gob.es/","Spanish Agency of Medicines and Health Products")</f>
        <v>Spanish Agency of Medicines and Health Products</v>
      </c>
      <c r="C64" s="30" t="s">
        <v>15</v>
      </c>
      <c r="D64" s="30" t="s">
        <v>107</v>
      </c>
      <c r="E64" s="30" t="s">
        <v>107</v>
      </c>
      <c r="F64" s="2" t="s">
        <v>156</v>
      </c>
      <c r="G64" s="28" t="s">
        <v>1679</v>
      </c>
      <c r="H64" s="31"/>
    </row>
    <row r="65" spans="1:8" ht="15.95" customHeight="1">
      <c r="A65" s="28">
        <v>61</v>
      </c>
      <c r="B65" s="2" t="str">
        <f>HYPERLINK("https://www.csic.es/es","Spanish National Research Council (CSIC)")</f>
        <v>Spanish National Research Council (CSIC)</v>
      </c>
      <c r="C65" s="30" t="s">
        <v>15</v>
      </c>
      <c r="D65" s="30" t="s">
        <v>107</v>
      </c>
      <c r="E65" s="30" t="s">
        <v>107</v>
      </c>
      <c r="F65" s="2" t="s">
        <v>157</v>
      </c>
      <c r="G65" s="28" t="s">
        <v>1679</v>
      </c>
      <c r="H65" s="31"/>
    </row>
    <row r="66" spans="1:8" ht="15.95" customHeight="1">
      <c r="A66" s="28">
        <v>62</v>
      </c>
      <c r="B66" s="2" t="str">
        <f>HYPERLINK("https://www.saglik.gov.tr/","Ministry of Health (Turkey)")</f>
        <v>Ministry of Health (Turkey)</v>
      </c>
      <c r="C66" s="30" t="s">
        <v>15</v>
      </c>
      <c r="D66" s="30" t="s">
        <v>2043</v>
      </c>
      <c r="E66" s="30" t="s">
        <v>2043</v>
      </c>
      <c r="F66" s="2" t="s">
        <v>1239</v>
      </c>
      <c r="G66" s="28" t="s">
        <v>1679</v>
      </c>
      <c r="H66" s="31"/>
    </row>
    <row r="67" spans="1:8" ht="15.95" customHeight="1">
      <c r="A67" s="28">
        <v>63</v>
      </c>
      <c r="B67" s="2" t="str">
        <f>HYPERLINK("https://www.titck.gov.tr/","Turkish Medicines and Medical Devices Agency")</f>
        <v>Turkish Medicines and Medical Devices Agency</v>
      </c>
      <c r="C67" s="30" t="s">
        <v>15</v>
      </c>
      <c r="D67" s="30" t="s">
        <v>2043</v>
      </c>
      <c r="E67" s="30" t="s">
        <v>2043</v>
      </c>
      <c r="F67" s="2" t="s">
        <v>1240</v>
      </c>
      <c r="G67" s="28" t="s">
        <v>1679</v>
      </c>
      <c r="H67" s="31"/>
    </row>
    <row r="68" spans="1:8" ht="15.95" customHeight="1">
      <c r="A68" s="28">
        <v>64</v>
      </c>
      <c r="B68" s="2" t="str">
        <f>HYPERLINK("https://www.england.nhs.uk/commissioning/spec-services/npc-crg/blood-and-infection-group-f/specialised-immunology-and-allergy-services/","Clinical Reference Group (CRG) - Specialised Immunology and Allergy Services (NHS England)")</f>
        <v>Clinical Reference Group (CRG) - Specialised Immunology and Allergy Services (NHS England)</v>
      </c>
      <c r="C68" s="30" t="s">
        <v>15</v>
      </c>
      <c r="D68" s="30" t="s">
        <v>17</v>
      </c>
      <c r="E68" s="30" t="s">
        <v>24</v>
      </c>
      <c r="F68" s="2" t="s">
        <v>1241</v>
      </c>
      <c r="G68" s="28">
        <v>3</v>
      </c>
      <c r="H68" s="31"/>
    </row>
    <row r="69" spans="1:8" ht="15.95" customHeight="1">
      <c r="A69" s="28">
        <v>65</v>
      </c>
      <c r="B69" s="2" t="str">
        <f>HYPERLINK("https://www.england.nhs.uk/commissioning/spec-services/npc-crg/group-e/specialised-paediatric-allergy-immunology-and-infectious-disease/","Clinical Reference Group (CRG) - Specialised Paediatric Allergy, Immunology and Infectious Disease (NHS England)")</f>
        <v>Clinical Reference Group (CRG) - Specialised Paediatric Allergy, Immunology and Infectious Disease (NHS England)</v>
      </c>
      <c r="C69" s="30" t="s">
        <v>15</v>
      </c>
      <c r="D69" s="30" t="s">
        <v>17</v>
      </c>
      <c r="E69" s="30" t="s">
        <v>24</v>
      </c>
      <c r="F69" s="2" t="s">
        <v>1242</v>
      </c>
      <c r="G69" s="28">
        <v>3</v>
      </c>
      <c r="H69" s="31"/>
    </row>
    <row r="70" spans="1:8" ht="15.95" customHeight="1">
      <c r="A70" s="28">
        <v>66</v>
      </c>
      <c r="B70" s="2" t="str">
        <f>HYPERLINK("https://www.gov.uk/government/organisations/department-of-health-and-social-care","DoH - Department of Health UK")</f>
        <v>DoH - Department of Health UK</v>
      </c>
      <c r="C70" s="30" t="s">
        <v>15</v>
      </c>
      <c r="D70" s="30" t="s">
        <v>17</v>
      </c>
      <c r="E70" s="30" t="s">
        <v>17</v>
      </c>
      <c r="F70" s="2" t="s">
        <v>133</v>
      </c>
      <c r="G70" s="28" t="s">
        <v>1679</v>
      </c>
      <c r="H70" s="31"/>
    </row>
    <row r="71" spans="1:8" ht="15.95" customHeight="1">
      <c r="A71" s="28">
        <v>67</v>
      </c>
      <c r="B71" s="2" t="str">
        <f>HYPERLINK("http://www.pharmacyregulation.org/","General Pharmaceutical Council")</f>
        <v>General Pharmaceutical Council</v>
      </c>
      <c r="C71" s="30" t="s">
        <v>15</v>
      </c>
      <c r="D71" s="30" t="s">
        <v>17</v>
      </c>
      <c r="E71" s="30" t="s">
        <v>17</v>
      </c>
      <c r="F71" s="2" t="s">
        <v>134</v>
      </c>
      <c r="G71" s="28" t="s">
        <v>1679</v>
      </c>
      <c r="H71" s="31"/>
    </row>
    <row r="72" spans="1:8" ht="15.95" customHeight="1">
      <c r="A72" s="28">
        <v>68</v>
      </c>
      <c r="B72" s="2" t="str">
        <f>HYPERLINK("http://www.mhra.gov.uk/index.htm","MHRA - Medicines and Healthcare Products Regulatory Agency")</f>
        <v>MHRA - Medicines and Healthcare Products Regulatory Agency</v>
      </c>
      <c r="C72" s="30" t="s">
        <v>15</v>
      </c>
      <c r="D72" s="30" t="s">
        <v>17</v>
      </c>
      <c r="E72" s="30" t="s">
        <v>17</v>
      </c>
      <c r="F72" s="2" t="s">
        <v>135</v>
      </c>
      <c r="G72" s="28" t="s">
        <v>1679</v>
      </c>
      <c r="H72" s="31"/>
    </row>
    <row r="73" spans="1:8" ht="15.95" customHeight="1">
      <c r="A73" s="28">
        <v>69</v>
      </c>
      <c r="B73" s="2" t="str">
        <f>HYPERLINK("https://www.england.nhs.uk/commissioning/rdag/","NHS Commissioning - Rare Diseases Advisory Group (NHS England)")</f>
        <v>NHS Commissioning - Rare Diseases Advisory Group (NHS England)</v>
      </c>
      <c r="C73" s="30" t="s">
        <v>15</v>
      </c>
      <c r="D73" s="30" t="s">
        <v>17</v>
      </c>
      <c r="E73" s="30" t="s">
        <v>24</v>
      </c>
      <c r="F73" s="2" t="s">
        <v>1243</v>
      </c>
      <c r="G73" s="28" t="s">
        <v>2031</v>
      </c>
      <c r="H73" s="31"/>
    </row>
    <row r="74" spans="1:8" ht="15.95" customHeight="1">
      <c r="A74" s="28">
        <v>70</v>
      </c>
      <c r="B74" s="2" t="str">
        <f>HYPERLINK("https://www.england.nhs.uk/","NHS England")</f>
        <v>NHS England</v>
      </c>
      <c r="C74" s="30" t="s">
        <v>15</v>
      </c>
      <c r="D74" s="30" t="s">
        <v>17</v>
      </c>
      <c r="E74" s="30" t="s">
        <v>24</v>
      </c>
      <c r="F74" s="2" t="s">
        <v>136</v>
      </c>
      <c r="G74" s="28" t="s">
        <v>1679</v>
      </c>
      <c r="H74" s="31"/>
    </row>
    <row r="75" spans="1:8" ht="15.95" customHeight="1">
      <c r="A75" s="28">
        <v>71</v>
      </c>
      <c r="B75" s="2" t="str">
        <f>HYPERLINK("https://www.nihr.ac.uk/explore-nihr/funding-programmes/health-technology-assessment.htm","NIHR - Health Technology Assessment (HTA)")</f>
        <v>NIHR - Health Technology Assessment (HTA)</v>
      </c>
      <c r="C75" s="30" t="s">
        <v>15</v>
      </c>
      <c r="D75" s="30" t="s">
        <v>17</v>
      </c>
      <c r="E75" s="30" t="s">
        <v>17</v>
      </c>
      <c r="F75" s="2" t="s">
        <v>137</v>
      </c>
      <c r="G75" s="28" t="s">
        <v>1679</v>
      </c>
      <c r="H75" s="31"/>
    </row>
    <row r="76" spans="1:8" ht="15.95" customHeight="1">
      <c r="A76" s="28">
        <v>72</v>
      </c>
      <c r="B76" s="2" t="str">
        <f>HYPERLINK("https://www.publichealth.hscni.net/","Public Health Agency - Northern Ireland")</f>
        <v>Public Health Agency - Northern Ireland</v>
      </c>
      <c r="C76" s="30" t="s">
        <v>15</v>
      </c>
      <c r="D76" s="30" t="s">
        <v>17</v>
      </c>
      <c r="E76" s="30" t="s">
        <v>138</v>
      </c>
      <c r="F76" s="2" t="s">
        <v>139</v>
      </c>
      <c r="G76" s="28" t="s">
        <v>1679</v>
      </c>
      <c r="H76" s="31"/>
    </row>
    <row r="77" spans="1:8" ht="15.95" customHeight="1">
      <c r="A77" s="28">
        <v>73</v>
      </c>
      <c r="B77" s="2" t="str">
        <f>HYPERLINK("http://www.healthscotland.com/","Public Health Scotland")</f>
        <v>Public Health Scotland</v>
      </c>
      <c r="C77" s="30" t="s">
        <v>15</v>
      </c>
      <c r="D77" s="30" t="s">
        <v>17</v>
      </c>
      <c r="E77" s="30" t="s">
        <v>102</v>
      </c>
      <c r="F77" s="2" t="s">
        <v>140</v>
      </c>
      <c r="G77" s="28" t="s">
        <v>1679</v>
      </c>
      <c r="H77" s="31"/>
    </row>
    <row r="78" spans="1:8" ht="15.95" customHeight="1">
      <c r="A78" s="28">
        <v>74</v>
      </c>
      <c r="B78" s="2" t="str">
        <f>HYPERLINK("https://phw.nhs.wales/","Public Health Wales")</f>
        <v>Public Health Wales</v>
      </c>
      <c r="C78" s="30" t="s">
        <v>15</v>
      </c>
      <c r="D78" s="30" t="s">
        <v>17</v>
      </c>
      <c r="E78" s="30" t="s">
        <v>96</v>
      </c>
      <c r="F78" s="2" t="s">
        <v>141</v>
      </c>
      <c r="G78" s="28" t="s">
        <v>1679</v>
      </c>
      <c r="H78" s="31"/>
    </row>
    <row r="79" spans="1:8" ht="15.95" customHeight="1">
      <c r="A79" s="28">
        <v>75</v>
      </c>
      <c r="B79" s="2" t="str">
        <f>HYPERLINK("https://www.acf.hhs.gov/","Administration for Children &amp; Families (ACF)")</f>
        <v>Administration for Children &amp; Families (ACF)</v>
      </c>
      <c r="C79" s="30" t="s">
        <v>15</v>
      </c>
      <c r="D79" s="30" t="s">
        <v>18</v>
      </c>
      <c r="E79" s="30" t="s">
        <v>18</v>
      </c>
      <c r="F79" s="2" t="s">
        <v>38</v>
      </c>
      <c r="G79" s="28" t="s">
        <v>1679</v>
      </c>
      <c r="H79" s="31"/>
    </row>
    <row r="80" spans="1:8" ht="15.95" customHeight="1">
      <c r="A80" s="28">
        <v>76</v>
      </c>
      <c r="B80" s="2" t="str">
        <f>HYPERLINK("https://www.ahrq.gov/","Agency for Healthcare Research and Quality (AHRQ)")</f>
        <v>Agency for Healthcare Research and Quality (AHRQ)</v>
      </c>
      <c r="C80" s="30" t="s">
        <v>15</v>
      </c>
      <c r="D80" s="30" t="s">
        <v>18</v>
      </c>
      <c r="E80" s="30" t="s">
        <v>18</v>
      </c>
      <c r="F80" s="2" t="s">
        <v>39</v>
      </c>
      <c r="G80" s="28" t="s">
        <v>1679</v>
      </c>
      <c r="H80" s="31"/>
    </row>
    <row r="81" spans="1:8" ht="15.95" customHeight="1">
      <c r="A81" s="28">
        <v>77</v>
      </c>
      <c r="B81" s="2" t="str">
        <f>HYPERLINK("https://www.cdc.gov/index.htm","Centers for Disease Control and Prevention")</f>
        <v>Centers for Disease Control and Prevention</v>
      </c>
      <c r="C81" s="30" t="s">
        <v>15</v>
      </c>
      <c r="D81" s="30" t="s">
        <v>18</v>
      </c>
      <c r="E81" s="30" t="s">
        <v>18</v>
      </c>
      <c r="F81" s="2" t="s">
        <v>43</v>
      </c>
      <c r="G81" s="28" t="s">
        <v>1679</v>
      </c>
      <c r="H81" s="31"/>
    </row>
    <row r="82" spans="1:8" ht="15.95" customHeight="1">
      <c r="A82" s="28">
        <v>78</v>
      </c>
      <c r="B82" s="2" t="str">
        <f>HYPERLINK("https://rarediseases.info.nih.gov/","Genetic and Rare Diseases Information Center")</f>
        <v>Genetic and Rare Diseases Information Center</v>
      </c>
      <c r="C82" s="30" t="s">
        <v>15</v>
      </c>
      <c r="D82" s="30" t="s">
        <v>18</v>
      </c>
      <c r="E82" s="30" t="s">
        <v>18</v>
      </c>
      <c r="F82" s="2" t="s">
        <v>1854</v>
      </c>
      <c r="G82" s="28" t="s">
        <v>2031</v>
      </c>
      <c r="H82" s="31"/>
    </row>
    <row r="83" spans="1:8" ht="15.95" customHeight="1">
      <c r="A83" s="28">
        <v>79</v>
      </c>
      <c r="B83" s="2" t="str">
        <f>HYPERLINK("https://www.nhlbi.nih.gov/","National Heart, Lung, and Blood Institute")</f>
        <v>National Heart, Lung, and Blood Institute</v>
      </c>
      <c r="C83" s="30" t="s">
        <v>15</v>
      </c>
      <c r="D83" s="30" t="s">
        <v>18</v>
      </c>
      <c r="E83" s="30" t="s">
        <v>18</v>
      </c>
      <c r="F83" s="2" t="s">
        <v>1244</v>
      </c>
      <c r="G83" s="28" t="s">
        <v>1679</v>
      </c>
      <c r="H83" s="31"/>
    </row>
    <row r="84" spans="1:8" ht="15.95" customHeight="1">
      <c r="A84" s="28">
        <v>80</v>
      </c>
      <c r="B84" s="2" t="str">
        <f>HYPERLINK("https://www.niaid.nih.gov/","National Institute of Allergy and Infectious Diseases")</f>
        <v>National Institute of Allergy and Infectious Diseases</v>
      </c>
      <c r="C84" s="30" t="s">
        <v>15</v>
      </c>
      <c r="D84" s="30" t="s">
        <v>18</v>
      </c>
      <c r="E84" s="30" t="s">
        <v>18</v>
      </c>
      <c r="F84" s="2" t="s">
        <v>1855</v>
      </c>
      <c r="G84" s="28">
        <v>3</v>
      </c>
      <c r="H84" s="31"/>
    </row>
    <row r="85" spans="1:8" ht="15.95" customHeight="1">
      <c r="A85" s="28">
        <v>81</v>
      </c>
      <c r="B85" s="2" t="str">
        <f>HYPERLINK("https://www.nih.gov/about-nih/who-we-are","National Institutes of Health (NIH)")</f>
        <v>National Institutes of Health (NIH)</v>
      </c>
      <c r="C85" s="30" t="s">
        <v>15</v>
      </c>
      <c r="D85" s="30" t="s">
        <v>18</v>
      </c>
      <c r="E85" s="30" t="s">
        <v>18</v>
      </c>
      <c r="F85" s="2" t="s">
        <v>40</v>
      </c>
      <c r="G85" s="28" t="s">
        <v>1679</v>
      </c>
      <c r="H85" s="31"/>
    </row>
    <row r="86" spans="1:8" ht="15.95" customHeight="1">
      <c r="A86" s="28">
        <v>82</v>
      </c>
      <c r="B86" s="2" t="str">
        <f>HYPERLINK("http://www.fda.gov/","U S Food and Drug Administration")</f>
        <v>U S Food and Drug Administration</v>
      </c>
      <c r="C86" s="30" t="s">
        <v>15</v>
      </c>
      <c r="D86" s="30" t="s">
        <v>18</v>
      </c>
      <c r="E86" s="30" t="s">
        <v>18</v>
      </c>
      <c r="F86" s="2" t="s">
        <v>41</v>
      </c>
      <c r="G86" s="28" t="s">
        <v>1679</v>
      </c>
      <c r="H86" s="31"/>
    </row>
    <row r="87" spans="1:8" ht="15.95" customHeight="1">
      <c r="A87" s="28">
        <v>83</v>
      </c>
      <c r="B87" s="2" t="str">
        <f>HYPERLINK("https://www.hhs.gov/","U.S. Department of Health &amp; Human Services")</f>
        <v>U.S. Department of Health &amp; Human Services</v>
      </c>
      <c r="C87" s="30" t="s">
        <v>15</v>
      </c>
      <c r="D87" s="30" t="s">
        <v>18</v>
      </c>
      <c r="E87" s="30" t="s">
        <v>18</v>
      </c>
      <c r="F87" s="2" t="s">
        <v>42</v>
      </c>
      <c r="G87" s="28" t="s">
        <v>1679</v>
      </c>
      <c r="H87" s="31"/>
    </row>
    <row r="88" spans="1:8" ht="15.95" customHeight="1">
      <c r="A88" s="28">
        <v>84</v>
      </c>
      <c r="B88" s="2" t="str">
        <f>HYPERLINK("https://www.va.gov/health/","Veterans Health Administration")</f>
        <v>Veterans Health Administration</v>
      </c>
      <c r="C88" s="30" t="s">
        <v>15</v>
      </c>
      <c r="D88" s="30" t="s">
        <v>18</v>
      </c>
      <c r="E88" s="30" t="s">
        <v>18</v>
      </c>
      <c r="F88" s="2" t="s">
        <v>158</v>
      </c>
      <c r="G88" s="28" t="s">
        <v>1679</v>
      </c>
      <c r="H88" s="31"/>
    </row>
  </sheetData>
  <autoFilter ref="A4:H4"/>
  <sortState ref="A5:H89">
    <sortCondition ref="C5:C89" customList="International,Regional,National"/>
    <sortCondition ref="D5:D89"/>
    <sortCondition ref="B5:B89"/>
  </sortState>
  <mergeCells count="2">
    <mergeCell ref="A1:H1"/>
    <mergeCell ref="A2:H3"/>
  </mergeCells>
  <hyperlinks>
    <hyperlink ref="F5" r:id="rId1"/>
    <hyperlink ref="F6" r:id="rId2"/>
    <hyperlink ref="F11" r:id="rId3"/>
    <hyperlink ref="F12" r:id="rId4"/>
    <hyperlink ref="F14" r:id="rId5"/>
    <hyperlink ref="F15" r:id="rId6"/>
    <hyperlink ref="F32" r:id="rId7"/>
    <hyperlink ref="F34" r:id="rId8"/>
    <hyperlink ref="F35" r:id="rId9"/>
    <hyperlink ref="F37" r:id="rId10"/>
    <hyperlink ref="F38" r:id="rId11"/>
    <hyperlink ref="F39" r:id="rId12"/>
    <hyperlink ref="F40" r:id="rId13"/>
    <hyperlink ref="F41" r:id="rId14"/>
    <hyperlink ref="F42" r:id="rId15"/>
    <hyperlink ref="F43" r:id="rId16"/>
    <hyperlink ref="F44" r:id="rId17"/>
    <hyperlink ref="F45" r:id="rId18"/>
    <hyperlink ref="F46" r:id="rId19"/>
    <hyperlink ref="F47" r:id="rId20"/>
    <hyperlink ref="F48" r:id="rId21"/>
    <hyperlink ref="F49" r:id="rId22"/>
    <hyperlink ref="F50" r:id="rId23"/>
    <hyperlink ref="F51" r:id="rId24"/>
    <hyperlink ref="F52" r:id="rId25"/>
    <hyperlink ref="F53" r:id="rId26"/>
    <hyperlink ref="F54" r:id="rId27"/>
    <hyperlink ref="F55" r:id="rId28"/>
    <hyperlink ref="F62" r:id="rId29"/>
    <hyperlink ref="F63" r:id="rId30"/>
    <hyperlink ref="F64" r:id="rId31"/>
    <hyperlink ref="F65" r:id="rId32"/>
    <hyperlink ref="F70" r:id="rId33"/>
    <hyperlink ref="F71" r:id="rId34"/>
    <hyperlink ref="F72" r:id="rId35"/>
    <hyperlink ref="F74" r:id="rId36"/>
    <hyperlink ref="F75" r:id="rId37"/>
    <hyperlink ref="F76" r:id="rId38"/>
    <hyperlink ref="F77" r:id="rId39"/>
    <hyperlink ref="F78" r:id="rId40"/>
    <hyperlink ref="F79" r:id="rId41"/>
    <hyperlink ref="F80" r:id="rId42"/>
    <hyperlink ref="F81" r:id="rId43"/>
    <hyperlink ref="F85" r:id="rId44"/>
    <hyperlink ref="F86" r:id="rId45"/>
    <hyperlink ref="F87" r:id="rId46"/>
    <hyperlink ref="F88" r:id="rId47"/>
    <hyperlink ref="F13" r:id="rId48"/>
    <hyperlink ref="F10" r:id="rId49"/>
    <hyperlink ref="F68" r:id="rId50"/>
    <hyperlink ref="F73" r:id="rId51"/>
    <hyperlink ref="F69" r:id="rId52"/>
    <hyperlink ref="F61" r:id="rId53"/>
    <hyperlink ref="F60" r:id="rId54"/>
    <hyperlink ref="F59" r:id="rId55"/>
    <hyperlink ref="F7" r:id="rId56"/>
    <hyperlink ref="F8" r:id="rId57"/>
    <hyperlink ref="F9" r:id="rId58"/>
    <hyperlink ref="F17" r:id="rId59"/>
    <hyperlink ref="F28" r:id="rId60"/>
    <hyperlink ref="F29" r:id="rId61"/>
    <hyperlink ref="F30" r:id="rId62"/>
    <hyperlink ref="F31" r:id="rId63"/>
    <hyperlink ref="F36" r:id="rId64"/>
    <hyperlink ref="F58" r:id="rId65"/>
    <hyperlink ref="F16" r:id="rId66"/>
    <hyperlink ref="F20" r:id="rId67"/>
    <hyperlink ref="F21" r:id="rId68"/>
    <hyperlink ref="F23" r:id="rId69"/>
    <hyperlink ref="F27" r:id="rId70"/>
    <hyperlink ref="F18" r:id="rId71"/>
    <hyperlink ref="F19" r:id="rId72"/>
    <hyperlink ref="F22" r:id="rId73"/>
    <hyperlink ref="F24" r:id="rId74"/>
    <hyperlink ref="F25" r:id="rId75"/>
    <hyperlink ref="F26" r:id="rId76"/>
    <hyperlink ref="F66" r:id="rId77"/>
    <hyperlink ref="F67" r:id="rId78"/>
    <hyperlink ref="F33" r:id="rId79"/>
    <hyperlink ref="F83" r:id="rId80"/>
    <hyperlink ref="F57" r:id="rId81"/>
    <hyperlink ref="F82" r:id="rId82"/>
    <hyperlink ref="F84" r:id="rId83"/>
    <hyperlink ref="F56" r:id="rId84"/>
  </hyperlinks>
  <pageMargins left="0.7" right="0.7" top="0.75" bottom="0.75" header="0" footer="0"/>
  <pageSetup orientation="landscape" r:id="rId8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showGridLines="0" zoomScaleNormal="10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9.140625" defaultRowHeight="12.75"/>
  <cols>
    <col min="1" max="1" width="6.140625" style="48" customWidth="1"/>
    <col min="2" max="2" width="70.85546875" style="48" customWidth="1"/>
    <col min="3" max="4" width="15.5703125" style="48" customWidth="1"/>
    <col min="5" max="5" width="18" style="48" customWidth="1"/>
    <col min="6" max="6" width="44.140625" style="48" customWidth="1"/>
    <col min="7" max="7" width="42.42578125" style="48" bestFit="1" customWidth="1"/>
    <col min="8" max="16384" width="9.140625" style="48"/>
  </cols>
  <sheetData>
    <row r="1" spans="1:7" ht="24.95" customHeight="1">
      <c r="A1" s="80" t="s">
        <v>0</v>
      </c>
      <c r="B1" s="80"/>
      <c r="C1" s="80"/>
      <c r="D1" s="80"/>
      <c r="E1" s="80"/>
      <c r="F1" s="80"/>
      <c r="G1" s="81"/>
    </row>
    <row r="2" spans="1:7" ht="15" customHeight="1">
      <c r="A2" s="82" t="s">
        <v>19</v>
      </c>
      <c r="B2" s="83"/>
      <c r="C2" s="83"/>
      <c r="D2" s="83"/>
      <c r="E2" s="83"/>
      <c r="F2" s="83"/>
      <c r="G2" s="84"/>
    </row>
    <row r="3" spans="1:7" ht="15" customHeight="1">
      <c r="A3" s="85"/>
      <c r="B3" s="86"/>
      <c r="C3" s="86"/>
      <c r="D3" s="86"/>
      <c r="E3" s="86"/>
      <c r="F3" s="86"/>
      <c r="G3" s="87"/>
    </row>
    <row r="4" spans="1:7" ht="28.5" customHeight="1">
      <c r="A4" s="7" t="s">
        <v>2</v>
      </c>
      <c r="B4" s="49" t="s">
        <v>2044</v>
      </c>
      <c r="C4" s="7" t="s">
        <v>12</v>
      </c>
      <c r="D4" s="7" t="s">
        <v>13</v>
      </c>
      <c r="E4" s="49" t="s">
        <v>2045</v>
      </c>
      <c r="F4" s="7" t="s">
        <v>5</v>
      </c>
      <c r="G4" s="49" t="s">
        <v>6</v>
      </c>
    </row>
    <row r="5" spans="1:7" s="53" customFormat="1" ht="15.95" customHeight="1">
      <c r="A5" s="50">
        <v>1</v>
      </c>
      <c r="B5" s="51" t="str">
        <f>HYPERLINK("https://sanatorioaconcagua.com/servicio-alergia.html","Aconcagua Sanatorium")</f>
        <v>Aconcagua Sanatorium</v>
      </c>
      <c r="C5" s="52" t="s">
        <v>15</v>
      </c>
      <c r="D5" s="52" t="s">
        <v>161</v>
      </c>
      <c r="E5" s="52" t="s">
        <v>2046</v>
      </c>
      <c r="F5" s="2" t="s">
        <v>2047</v>
      </c>
      <c r="G5" s="52"/>
    </row>
    <row r="6" spans="1:7" s="53" customFormat="1" ht="15.95" customHeight="1">
      <c r="A6" s="50">
        <v>2</v>
      </c>
      <c r="B6" s="51" t="str">
        <f>HYPERLINK("https://osepmendoza.com.ar/web/hospital-fleming/","Alexander Fleming Pediatric Hospital-OSEP")</f>
        <v>Alexander Fleming Pediatric Hospital-OSEP</v>
      </c>
      <c r="C6" s="52" t="s">
        <v>15</v>
      </c>
      <c r="D6" s="52" t="s">
        <v>161</v>
      </c>
      <c r="E6" s="52" t="s">
        <v>2048</v>
      </c>
      <c r="F6" s="2" t="s">
        <v>2049</v>
      </c>
      <c r="G6" s="52"/>
    </row>
    <row r="7" spans="1:7" s="53" customFormat="1" ht="15.95" customHeight="1">
      <c r="A7" s="50">
        <v>3</v>
      </c>
      <c r="B7" s="51" t="str">
        <f>HYPERLINK("https://aapidp.com.ar/cartilla.php?centros=1","British Hospital of Buenos Aires")</f>
        <v>British Hospital of Buenos Aires</v>
      </c>
      <c r="C7" s="52" t="s">
        <v>15</v>
      </c>
      <c r="D7" s="52" t="s">
        <v>161</v>
      </c>
      <c r="E7" s="52" t="s">
        <v>1557</v>
      </c>
      <c r="F7" s="2" t="s">
        <v>2050</v>
      </c>
      <c r="G7" s="52"/>
    </row>
    <row r="8" spans="1:7" s="53" customFormat="1" ht="15.95" customHeight="1">
      <c r="A8" s="50">
        <v>4</v>
      </c>
      <c r="B8" s="51" t="str">
        <f>HYPERLINK("https://aapidp.com.ar/cartilla.php?centros=1","CEI Pediatric Specialty Clinics")</f>
        <v>CEI Pediatric Specialty Clinics</v>
      </c>
      <c r="C8" s="52" t="s">
        <v>15</v>
      </c>
      <c r="D8" s="52" t="s">
        <v>161</v>
      </c>
      <c r="E8" s="52" t="s">
        <v>1557</v>
      </c>
      <c r="F8" s="2" t="s">
        <v>2050</v>
      </c>
      <c r="G8" s="52"/>
    </row>
    <row r="9" spans="1:7" s="53" customFormat="1" ht="15.95" customHeight="1">
      <c r="A9" s="50">
        <v>5</v>
      </c>
      <c r="B9" s="51" t="str">
        <f>HYPERLINK("http://www.bezrodnik.com.ar/#","Center for Clinical Immunology CIC Bezrodnik")</f>
        <v>Center for Clinical Immunology CIC Bezrodnik</v>
      </c>
      <c r="C9" s="52" t="s">
        <v>15</v>
      </c>
      <c r="D9" s="52" t="s">
        <v>161</v>
      </c>
      <c r="E9" s="52" t="s">
        <v>1557</v>
      </c>
      <c r="F9" s="2" t="s">
        <v>2051</v>
      </c>
      <c r="G9" s="52"/>
    </row>
    <row r="10" spans="1:7" s="53" customFormat="1" ht="15.95" customHeight="1">
      <c r="A10" s="50">
        <v>6</v>
      </c>
      <c r="B10" s="51" t="str">
        <f>HYPERLINK("https://aapidp.com.ar/cartilla.php?centros=1","Ceretti Counseling Center")</f>
        <v>Ceretti Counseling Center</v>
      </c>
      <c r="C10" s="52" t="s">
        <v>15</v>
      </c>
      <c r="D10" s="52" t="s">
        <v>161</v>
      </c>
      <c r="E10" s="52" t="s">
        <v>1557</v>
      </c>
      <c r="F10" s="2" t="s">
        <v>2050</v>
      </c>
      <c r="G10" s="52"/>
    </row>
    <row r="11" spans="1:7" s="53" customFormat="1" ht="15.95" customHeight="1">
      <c r="A11" s="50">
        <v>7</v>
      </c>
      <c r="B11" s="51" t="str">
        <f>HYPERLINK("https://aapidp.com.ar/cartilla.php?centros=1","CEVRA Clinic Specialized Center for Respiratory Tract and Allergies")</f>
        <v>CEVRA Clinic Specialized Center for Respiratory Tract and Allergies</v>
      </c>
      <c r="C11" s="52" t="s">
        <v>15</v>
      </c>
      <c r="D11" s="52" t="s">
        <v>161</v>
      </c>
      <c r="E11" s="52" t="s">
        <v>1557</v>
      </c>
      <c r="F11" s="2" t="s">
        <v>2050</v>
      </c>
      <c r="G11" s="52"/>
    </row>
    <row r="12" spans="1:7" s="53" customFormat="1" ht="15.95" customHeight="1">
      <c r="A12" s="50">
        <v>8</v>
      </c>
      <c r="B12" s="51" t="str">
        <f>HYPERLINK("https://sitio.cnf.com.ar/staff-medico/","Child and Family Clinic")</f>
        <v>Child and Family Clinic</v>
      </c>
      <c r="C12" s="52" t="s">
        <v>15</v>
      </c>
      <c r="D12" s="52" t="s">
        <v>161</v>
      </c>
      <c r="E12" s="52" t="s">
        <v>2048</v>
      </c>
      <c r="F12" s="2" t="s">
        <v>2052</v>
      </c>
      <c r="G12" s="52"/>
    </row>
    <row r="13" spans="1:7" s="53" customFormat="1" ht="15.95" customHeight="1">
      <c r="A13" s="50">
        <v>9</v>
      </c>
      <c r="B13" s="51" t="str">
        <f>HYPERLINK("https://aapidp.com.ar/cartilla.php?centros=1","Climed Interdisciplinary Medical Center")</f>
        <v>Climed Interdisciplinary Medical Center</v>
      </c>
      <c r="C13" s="52" t="s">
        <v>15</v>
      </c>
      <c r="D13" s="52" t="s">
        <v>161</v>
      </c>
      <c r="E13" s="52" t="s">
        <v>1557</v>
      </c>
      <c r="F13" s="2" t="s">
        <v>2050</v>
      </c>
      <c r="G13" s="52"/>
    </row>
    <row r="14" spans="1:7" s="53" customFormat="1" ht="15.95" customHeight="1">
      <c r="A14" s="50">
        <v>10</v>
      </c>
      <c r="B14" s="51" t="str">
        <f>HYPERLINK("https://aapidp.com.ar/cartilla.php?centros=1","Dr. Leonidas Lucero Municipal Hospital")</f>
        <v>Dr. Leonidas Lucero Municipal Hospital</v>
      </c>
      <c r="C14" s="52" t="s">
        <v>15</v>
      </c>
      <c r="D14" s="52" t="s">
        <v>161</v>
      </c>
      <c r="E14" s="52" t="s">
        <v>1557</v>
      </c>
      <c r="F14" s="2" t="s">
        <v>2050</v>
      </c>
      <c r="G14" s="52"/>
    </row>
    <row r="15" spans="1:7" s="53" customFormat="1" ht="15.95" customHeight="1">
      <c r="A15" s="50">
        <v>11</v>
      </c>
      <c r="B15" s="51" t="str">
        <f>HYPERLINK("https://aapidp.com.ar/cartilla.php?centros=1","El Cruce Hospital")</f>
        <v>El Cruce Hospital</v>
      </c>
      <c r="C15" s="52" t="s">
        <v>15</v>
      </c>
      <c r="D15" s="52" t="s">
        <v>161</v>
      </c>
      <c r="E15" s="52" t="s">
        <v>1557</v>
      </c>
      <c r="F15" s="2" t="s">
        <v>2050</v>
      </c>
      <c r="G15" s="52"/>
    </row>
    <row r="16" spans="1:7" s="53" customFormat="1" ht="15.95" customHeight="1">
      <c r="A16" s="50">
        <v>12</v>
      </c>
      <c r="B16" s="51" t="str">
        <f>HYPERLINK("https://www.ms.gba.gov.ar/sitios/htetamanti/servicios/","HIEMI Interzonal Specialized Maternal and Child Hospital")</f>
        <v>HIEMI Interzonal Specialized Maternal and Child Hospital</v>
      </c>
      <c r="C16" s="52" t="s">
        <v>15</v>
      </c>
      <c r="D16" s="52" t="s">
        <v>161</v>
      </c>
      <c r="E16" s="52" t="s">
        <v>2046</v>
      </c>
      <c r="F16" s="2" t="s">
        <v>2053</v>
      </c>
      <c r="G16" s="52"/>
    </row>
    <row r="17" spans="1:7" s="53" customFormat="1" ht="15.95" customHeight="1">
      <c r="A17" s="50">
        <v>13</v>
      </c>
      <c r="B17" s="51" t="str">
        <f>HYPERLINK("https://aapidp.com.ar/cartilla.php?centros=1","Holy Trinity Children's Hospital")</f>
        <v>Holy Trinity Children's Hospital</v>
      </c>
      <c r="C17" s="52" t="s">
        <v>15</v>
      </c>
      <c r="D17" s="52" t="s">
        <v>161</v>
      </c>
      <c r="E17" s="52" t="s">
        <v>1557</v>
      </c>
      <c r="F17" s="2" t="s">
        <v>2050</v>
      </c>
      <c r="G17" s="52"/>
    </row>
    <row r="18" spans="1:7" s="53" customFormat="1" ht="15.95" customHeight="1">
      <c r="A18" s="50">
        <v>14</v>
      </c>
      <c r="B18" s="51" t="str">
        <f>HYPERLINK("https://aapidp.com.ar/cartilla.php?centros=1","Hospital Dr. C. G. Durand")</f>
        <v>Hospital Dr. C. G. Durand</v>
      </c>
      <c r="C18" s="52" t="s">
        <v>15</v>
      </c>
      <c r="D18" s="52" t="s">
        <v>161</v>
      </c>
      <c r="E18" s="52" t="s">
        <v>1557</v>
      </c>
      <c r="F18" s="2" t="s">
        <v>2050</v>
      </c>
      <c r="G18" s="52"/>
    </row>
    <row r="19" spans="1:7" s="53" customFormat="1" ht="15.95" customHeight="1">
      <c r="A19" s="50">
        <v>15</v>
      </c>
      <c r="B19" s="51" t="str">
        <f>HYPERLINK("https://aapidp.com.ar/cartilla.php?centros=1","Hospital Garrahan")</f>
        <v>Hospital Garrahan</v>
      </c>
      <c r="C19" s="52" t="s">
        <v>15</v>
      </c>
      <c r="D19" s="52" t="s">
        <v>161</v>
      </c>
      <c r="E19" s="52" t="s">
        <v>2048</v>
      </c>
      <c r="F19" s="2" t="s">
        <v>2050</v>
      </c>
      <c r="G19" s="52"/>
    </row>
    <row r="20" spans="1:7" s="53" customFormat="1" ht="15.95" customHeight="1">
      <c r="A20" s="50">
        <v>16</v>
      </c>
      <c r="B20" s="51" t="str">
        <f>HYPERLINK("https://aapidp.com.ar/cartilla.php?centros=1","Hospital Interzonal general de Agudos (HIGA) San Martin de Plata")</f>
        <v>Hospital Interzonal general de Agudos (HIGA) San Martin de Plata</v>
      </c>
      <c r="C20" s="52" t="s">
        <v>15</v>
      </c>
      <c r="D20" s="52" t="s">
        <v>161</v>
      </c>
      <c r="E20" s="52" t="s">
        <v>1557</v>
      </c>
      <c r="F20" s="2" t="s">
        <v>2050</v>
      </c>
      <c r="G20" s="52"/>
    </row>
    <row r="21" spans="1:7" s="53" customFormat="1" ht="15.95" customHeight="1">
      <c r="A21" s="50">
        <v>17</v>
      </c>
      <c r="B21" s="51" t="str">
        <f>HYPERLINK("https://aapidp.com.ar/cartilla.php?centros=1","Hospital Italiano de Buenos Aires")</f>
        <v>Hospital Italiano de Buenos Aires</v>
      </c>
      <c r="C21" s="52" t="s">
        <v>15</v>
      </c>
      <c r="D21" s="52" t="s">
        <v>161</v>
      </c>
      <c r="E21" s="52" t="s">
        <v>1557</v>
      </c>
      <c r="F21" s="2" t="s">
        <v>2050</v>
      </c>
      <c r="G21" s="52"/>
    </row>
    <row r="22" spans="1:7" s="53" customFormat="1" ht="15.95" customHeight="1">
      <c r="A22" s="50">
        <v>18</v>
      </c>
      <c r="B22" s="51" t="str">
        <f>HYPERLINK("https://aapidp.com.ar/cartilla.php?centros=1","Hospital Militar Central")</f>
        <v>Hospital Militar Central</v>
      </c>
      <c r="C22" s="52" t="s">
        <v>15</v>
      </c>
      <c r="D22" s="52" t="s">
        <v>161</v>
      </c>
      <c r="E22" s="52" t="s">
        <v>1557</v>
      </c>
      <c r="F22" s="2" t="s">
        <v>2050</v>
      </c>
      <c r="G22" s="52"/>
    </row>
    <row r="23" spans="1:7" s="53" customFormat="1" ht="15.95" customHeight="1">
      <c r="A23" s="50">
        <v>19</v>
      </c>
      <c r="B23" s="51" t="str">
        <f>HYPERLINK("https://aapidp.com.ar/cartilla.php?centros=1","Hospital of the Child Jesus")</f>
        <v>Hospital of the Child Jesus</v>
      </c>
      <c r="C23" s="52" t="s">
        <v>15</v>
      </c>
      <c r="D23" s="52" t="s">
        <v>161</v>
      </c>
      <c r="E23" s="52" t="s">
        <v>1557</v>
      </c>
      <c r="F23" s="2" t="s">
        <v>2050</v>
      </c>
      <c r="G23" s="52"/>
    </row>
    <row r="24" spans="1:7" s="53" customFormat="1" ht="15.95" customHeight="1">
      <c r="A24" s="50">
        <v>20</v>
      </c>
      <c r="B24" s="51" t="str">
        <f>HYPERLINK("https://aapidp.com.ar/cartilla.php?centros=1","Institute of Tisioneumonology Prof. Dr. Raúl Vaccarezza")</f>
        <v>Institute of Tisioneumonology Prof. Dr. Raúl Vaccarezza</v>
      </c>
      <c r="C24" s="52" t="s">
        <v>15</v>
      </c>
      <c r="D24" s="52" t="s">
        <v>161</v>
      </c>
      <c r="E24" s="52" t="s">
        <v>1557</v>
      </c>
      <c r="F24" s="2" t="s">
        <v>2050</v>
      </c>
      <c r="G24" s="52"/>
    </row>
    <row r="25" spans="1:7" s="53" customFormat="1" ht="15.95" customHeight="1">
      <c r="A25" s="50">
        <v>21</v>
      </c>
      <c r="B25" s="51" t="str">
        <f>HYPERLINK("https://aapidp.com.ar/cartilla.php?centros=1","Jonas Salk Institute (OSECAC)")</f>
        <v>Jonas Salk Institute (OSECAC)</v>
      </c>
      <c r="C25" s="52" t="s">
        <v>15</v>
      </c>
      <c r="D25" s="52" t="s">
        <v>161</v>
      </c>
      <c r="E25" s="52" t="s">
        <v>1557</v>
      </c>
      <c r="F25" s="2" t="s">
        <v>2050</v>
      </c>
      <c r="G25" s="52"/>
    </row>
    <row r="26" spans="1:7" s="53" customFormat="1" ht="15.95" customHeight="1">
      <c r="A26" s="50">
        <v>22</v>
      </c>
      <c r="B26" s="51" t="str">
        <f>HYPERLINK("https://salud.cordoba.gob.ar/hospital-infantil/","Municipal Children's Hospital of Córdoba")</f>
        <v>Municipal Children's Hospital of Córdoba</v>
      </c>
      <c r="C26" s="52" t="s">
        <v>15</v>
      </c>
      <c r="D26" s="52" t="s">
        <v>161</v>
      </c>
      <c r="E26" s="52" t="s">
        <v>2046</v>
      </c>
      <c r="F26" s="2" t="s">
        <v>2054</v>
      </c>
      <c r="G26" s="52"/>
    </row>
    <row r="27" spans="1:7" s="53" customFormat="1" ht="15.95" customHeight="1">
      <c r="A27" s="50">
        <v>23</v>
      </c>
      <c r="B27" s="51" t="str">
        <f>HYPERLINK("https://buenosaires.gob.ar/salud/hospital-pedro-elizalde/inmunologia","Pedro de Elizalde General Children's Hospital")</f>
        <v>Pedro de Elizalde General Children's Hospital</v>
      </c>
      <c r="C27" s="52" t="s">
        <v>15</v>
      </c>
      <c r="D27" s="52" t="s">
        <v>161</v>
      </c>
      <c r="E27" s="52" t="s">
        <v>2048</v>
      </c>
      <c r="F27" s="2" t="s">
        <v>2055</v>
      </c>
      <c r="G27" s="52"/>
    </row>
    <row r="28" spans="1:7" s="53" customFormat="1" ht="15.95" customHeight="1">
      <c r="A28" s="50">
        <v>24</v>
      </c>
      <c r="B28" s="51" t="str">
        <f>HYPERLINK("https://aapidp.com.ar/cartilla.php?centros=1","Prof. Alejandro Posadas National Hospital")</f>
        <v>Prof. Alejandro Posadas National Hospital</v>
      </c>
      <c r="C28" s="52" t="s">
        <v>15</v>
      </c>
      <c r="D28" s="52" t="s">
        <v>161</v>
      </c>
      <c r="E28" s="52" t="s">
        <v>1557</v>
      </c>
      <c r="F28" s="2" t="s">
        <v>2050</v>
      </c>
      <c r="G28" s="52"/>
    </row>
    <row r="29" spans="1:7" s="53" customFormat="1" ht="15.95" customHeight="1">
      <c r="A29" s="50">
        <v>25</v>
      </c>
      <c r="B29" s="51" t="str">
        <f>HYPERLINK("https://curf.com.ar/especialidades/Alergia%20e%20Inmunolog%C3%ADa/Staff/pediatricos/TQwzZerCHsi4R2Rnnfug?sec=pediatricos","Reina Fabiola University Clinic (CURF)")</f>
        <v>Reina Fabiola University Clinic (CURF)</v>
      </c>
      <c r="C29" s="52" t="s">
        <v>15</v>
      </c>
      <c r="D29" s="52" t="s">
        <v>161</v>
      </c>
      <c r="E29" s="52" t="s">
        <v>2046</v>
      </c>
      <c r="F29" s="2" t="s">
        <v>2056</v>
      </c>
      <c r="G29" s="52"/>
    </row>
    <row r="30" spans="1:7" s="53" customFormat="1" ht="15.95" customHeight="1">
      <c r="A30" s="50">
        <v>26</v>
      </c>
      <c r="B30" s="51" t="str">
        <f>HYPERLINK("https://buenosaires.gob.ar/salud/hospitales-y-establecimientos-de-salud/hospital-de-ninos-dr-ricardo-gutierrez/inmunologia","Ricardo Gutierrez Children's Hospital")</f>
        <v>Ricardo Gutierrez Children's Hospital</v>
      </c>
      <c r="C30" s="52" t="s">
        <v>15</v>
      </c>
      <c r="D30" s="52" t="s">
        <v>161</v>
      </c>
      <c r="E30" s="52" t="s">
        <v>2048</v>
      </c>
      <c r="F30" s="2" t="s">
        <v>2057</v>
      </c>
      <c r="G30" s="52"/>
    </row>
    <row r="31" spans="1:7" s="53" customFormat="1" ht="15.95" customHeight="1">
      <c r="A31" s="50">
        <v>27</v>
      </c>
      <c r="B31" s="51" t="str">
        <f>HYPERLINK("https://aapidp.com.ar/cartilla.php?centros=1","Sala Salud")</f>
        <v>Sala Salud</v>
      </c>
      <c r="C31" s="52" t="s">
        <v>15</v>
      </c>
      <c r="D31" s="52" t="s">
        <v>161</v>
      </c>
      <c r="E31" s="52" t="s">
        <v>1557</v>
      </c>
      <c r="F31" s="2" t="s">
        <v>2050</v>
      </c>
      <c r="G31" s="52"/>
    </row>
    <row r="32" spans="1:7" s="53" customFormat="1" ht="15.95" customHeight="1">
      <c r="A32" s="50">
        <v>28</v>
      </c>
      <c r="B32" s="51" t="str">
        <f>HYPERLINK("https://aapidp.com.ar/cartilla.php?centros=1","San Roque Maternity and Child Hospital")</f>
        <v>San Roque Maternity and Child Hospital</v>
      </c>
      <c r="C32" s="52" t="s">
        <v>15</v>
      </c>
      <c r="D32" s="52" t="s">
        <v>161</v>
      </c>
      <c r="E32" s="52" t="s">
        <v>1557</v>
      </c>
      <c r="F32" s="2" t="s">
        <v>2050</v>
      </c>
      <c r="G32" s="52"/>
    </row>
    <row r="33" spans="1:7" s="53" customFormat="1" ht="15.95" customHeight="1">
      <c r="A33" s="50">
        <v>29</v>
      </c>
      <c r="B33" s="51" t="str">
        <f>HYPERLINK("https://sanatoriodelacanada.com/servicios-2/","Sanatorium of the Cañada")</f>
        <v>Sanatorium of the Cañada</v>
      </c>
      <c r="C33" s="52" t="s">
        <v>15</v>
      </c>
      <c r="D33" s="52" t="s">
        <v>161</v>
      </c>
      <c r="E33" s="52" t="s">
        <v>2046</v>
      </c>
      <c r="F33" s="2" t="s">
        <v>2058</v>
      </c>
      <c r="G33" s="52"/>
    </row>
    <row r="34" spans="1:7" s="53" customFormat="1" ht="15.95" customHeight="1">
      <c r="A34" s="50">
        <v>30</v>
      </c>
      <c r="B34" s="51" t="str">
        <f>HYPERLINK("https://aapidp.com.ar/cartilla.php?centros=1","Santa Fe Children's Hospital Dr. Orlando Alassia")</f>
        <v>Santa Fe Children's Hospital Dr. Orlando Alassia</v>
      </c>
      <c r="C34" s="52" t="s">
        <v>15</v>
      </c>
      <c r="D34" s="52" t="s">
        <v>161</v>
      </c>
      <c r="E34" s="52" t="s">
        <v>1557</v>
      </c>
      <c r="F34" s="2" t="s">
        <v>2050</v>
      </c>
      <c r="G34" s="52"/>
    </row>
    <row r="35" spans="1:7" s="53" customFormat="1" ht="15.95" customHeight="1">
      <c r="A35" s="50">
        <v>31</v>
      </c>
      <c r="B35" s="51" t="str">
        <f>HYPERLINK("https://aapidp.com.ar/cartilla.php?centros=1","Sister Maria Ludovica Children's Hospital")</f>
        <v>Sister Maria Ludovica Children's Hospital</v>
      </c>
      <c r="C35" s="52" t="s">
        <v>15</v>
      </c>
      <c r="D35" s="52" t="s">
        <v>161</v>
      </c>
      <c r="E35" s="52" t="s">
        <v>1557</v>
      </c>
      <c r="F35" s="2" t="s">
        <v>2050</v>
      </c>
      <c r="G35" s="52"/>
    </row>
    <row r="36" spans="1:7" s="53" customFormat="1" ht="15.95" customHeight="1">
      <c r="A36" s="50">
        <v>32</v>
      </c>
      <c r="B36" s="51" t="str">
        <f>HYPERLINK("https://aapidp.com.ar/cartilla.php?centros=1","Victor J Vilela Children's Hospital")</f>
        <v>Victor J Vilela Children's Hospital</v>
      </c>
      <c r="C36" s="52" t="s">
        <v>15</v>
      </c>
      <c r="D36" s="52" t="s">
        <v>161</v>
      </c>
      <c r="E36" s="52" t="s">
        <v>1557</v>
      </c>
      <c r="F36" s="2" t="s">
        <v>2050</v>
      </c>
      <c r="G36" s="52"/>
    </row>
    <row r="37" spans="1:7" s="53" customFormat="1" ht="15.95" customHeight="1">
      <c r="A37" s="50">
        <v>33</v>
      </c>
      <c r="B37" s="51" t="str">
        <f>HYPERLINK("https://www.alfredhealth.org.au/services/asthma-allergy-clinical-immunology-clinic","Alfred Hospital")</f>
        <v>Alfred Hospital</v>
      </c>
      <c r="C37" s="52" t="s">
        <v>15</v>
      </c>
      <c r="D37" s="52" t="s">
        <v>162</v>
      </c>
      <c r="E37" s="52" t="s">
        <v>1557</v>
      </c>
      <c r="F37" s="2" t="s">
        <v>2059</v>
      </c>
      <c r="G37" s="52"/>
    </row>
    <row r="38" spans="1:7" s="53" customFormat="1" ht="15.95" customHeight="1">
      <c r="A38" s="50">
        <v>34</v>
      </c>
      <c r="B38" s="51" t="str">
        <f>HYPERLINK("https://www.monash.edu/medicine/translational/immunology/research/allergy-clinical-immunology","Allergy and Clinical Immunology Laboratory, Monash University - Central Clinical School")</f>
        <v>Allergy and Clinical Immunology Laboratory, Monash University - Central Clinical School</v>
      </c>
      <c r="C38" s="52" t="s">
        <v>15</v>
      </c>
      <c r="D38" s="52" t="s">
        <v>162</v>
      </c>
      <c r="E38" s="52" t="s">
        <v>1557</v>
      </c>
      <c r="F38" s="2" t="s">
        <v>2060</v>
      </c>
      <c r="G38" s="52"/>
    </row>
    <row r="39" spans="1:7" s="53" customFormat="1" ht="15.95" customHeight="1">
      <c r="A39" s="50">
        <v>35</v>
      </c>
      <c r="B39" s="51" t="str">
        <f>HYPERLINK("https://www.burnet.edu.au/research/working-groups/diagnostic-markers-in-chronic-immune-disorders-group/","Diagnostic Markers in Chronic Immune Disorders Group, Burnet Institute")</f>
        <v>Diagnostic Markers in Chronic Immune Disorders Group, Burnet Institute</v>
      </c>
      <c r="C39" s="52" t="s">
        <v>15</v>
      </c>
      <c r="D39" s="52" t="s">
        <v>162</v>
      </c>
      <c r="E39" s="52" t="s">
        <v>1557</v>
      </c>
      <c r="F39" s="2" t="s">
        <v>2061</v>
      </c>
      <c r="G39" s="52"/>
    </row>
    <row r="40" spans="1:7" s="53" customFormat="1" ht="15.95" customHeight="1">
      <c r="A40" s="50">
        <v>36</v>
      </c>
      <c r="B40" s="51" t="str">
        <f>HYPERLINK("https://www.wehi.edu.au/researcher/phil-hodgkin/","Immunodeficiencies Laboratory, Walter &amp; Eliza Hall Institute")</f>
        <v>Immunodeficiencies Laboratory, Walter &amp; Eliza Hall Institute</v>
      </c>
      <c r="C40" s="52" t="s">
        <v>15</v>
      </c>
      <c r="D40" s="52" t="s">
        <v>162</v>
      </c>
      <c r="E40" s="52" t="s">
        <v>1557</v>
      </c>
      <c r="F40" s="2" t="s">
        <v>2062</v>
      </c>
      <c r="G40" s="52"/>
    </row>
    <row r="41" spans="1:7" s="53" customFormat="1" ht="15.95" customHeight="1">
      <c r="A41" s="50">
        <v>37</v>
      </c>
      <c r="B41" s="51" t="str">
        <f>HYPERLINK("https://www.rch.org.au/immunology/","Royal Children's Hospital")</f>
        <v>Royal Children's Hospital</v>
      </c>
      <c r="C41" s="52" t="s">
        <v>15</v>
      </c>
      <c r="D41" s="52" t="s">
        <v>162</v>
      </c>
      <c r="E41" s="52" t="s">
        <v>1557</v>
      </c>
      <c r="F41" s="2" t="s">
        <v>2063</v>
      </c>
      <c r="G41" s="52"/>
    </row>
    <row r="42" spans="1:7" s="53" customFormat="1" ht="15.95" customHeight="1">
      <c r="A42" s="50">
        <v>38</v>
      </c>
      <c r="B42" s="51" t="str">
        <f>HYPERLINK("https://www.thermh.org.au/services/immunology-allergy","Royal Melbourne Hospital")</f>
        <v>Royal Melbourne Hospital</v>
      </c>
      <c r="C42" s="52" t="s">
        <v>15</v>
      </c>
      <c r="D42" s="52" t="s">
        <v>162</v>
      </c>
      <c r="E42" s="52" t="s">
        <v>1557</v>
      </c>
      <c r="F42" s="2" t="s">
        <v>2064</v>
      </c>
      <c r="G42" s="52"/>
    </row>
    <row r="43" spans="1:7" s="53" customFormat="1" ht="15.95" customHeight="1">
      <c r="A43" s="50">
        <v>39</v>
      </c>
      <c r="B43" s="51" t="str">
        <f>HYPERLINK("https://memoria.ebc.com.br/agenciabrasil//noticia/2009-04-28/sao-paulo-inaugura-primeiro-centro-de-imunodeficiencia-primaria-da-america-latina","Federal University of São Paulo (Unifesp)")</f>
        <v>Federal University of São Paulo (Unifesp)</v>
      </c>
      <c r="C43" s="52" t="s">
        <v>15</v>
      </c>
      <c r="D43" s="52" t="s">
        <v>276</v>
      </c>
      <c r="E43" s="52" t="s">
        <v>1557</v>
      </c>
      <c r="F43" s="2" t="s">
        <v>2065</v>
      </c>
      <c r="G43" s="52"/>
    </row>
    <row r="44" spans="1:7" s="53" customFormat="1" ht="15.95" customHeight="1">
      <c r="A44" s="50">
        <v>40</v>
      </c>
      <c r="B44" s="51" t="str">
        <f>HYPERLINK("https://pequenoprincipe.org.br/noticia/imunodeficiencia-primaria-diagnostico-precoce-salva-vidas/","Pequeno Príncipe Hospital")</f>
        <v>Pequeno Príncipe Hospital</v>
      </c>
      <c r="C44" s="52" t="s">
        <v>15</v>
      </c>
      <c r="D44" s="52" t="s">
        <v>276</v>
      </c>
      <c r="E44" s="52" t="s">
        <v>1557</v>
      </c>
      <c r="F44" s="2" t="s">
        <v>2066</v>
      </c>
      <c r="G44" s="52"/>
    </row>
    <row r="45" spans="1:7" s="53" customFormat="1" ht="15.95" customHeight="1">
      <c r="A45" s="50">
        <v>41</v>
      </c>
      <c r="B45" s="51" t="str">
        <f>HYPERLINK("http://www.bcchildrens.ca/our-services/clinics/immunology","Immunology Service at BC Children's Hospital")</f>
        <v>Immunology Service at BC Children's Hospital</v>
      </c>
      <c r="C45" s="52" t="s">
        <v>15</v>
      </c>
      <c r="D45" s="52" t="s">
        <v>23</v>
      </c>
      <c r="E45" s="52" t="s">
        <v>2067</v>
      </c>
      <c r="F45" s="2" t="s">
        <v>2068</v>
      </c>
      <c r="G45" s="52"/>
    </row>
    <row r="46" spans="1:7" s="53" customFormat="1" ht="15.95" customHeight="1">
      <c r="A46" s="50">
        <v>42</v>
      </c>
      <c r="B46" s="51" t="str">
        <f>HYPERLINK("https://muhc.ca/clinical-departements-services/allergy-Immunology","McGill University Health Centre - Immune Deficiency Treatment Centre (IDTC)")</f>
        <v>McGill University Health Centre - Immune Deficiency Treatment Centre (IDTC)</v>
      </c>
      <c r="C46" s="52" t="s">
        <v>15</v>
      </c>
      <c r="D46" s="52" t="s">
        <v>23</v>
      </c>
      <c r="E46" s="52" t="s">
        <v>2067</v>
      </c>
      <c r="F46" s="2" t="s">
        <v>2069</v>
      </c>
      <c r="G46" s="52"/>
    </row>
    <row r="47" spans="1:7" s="53" customFormat="1" ht="15.95" customHeight="1">
      <c r="A47" s="50">
        <v>43</v>
      </c>
      <c r="B47" s="51" t="str">
        <f>HYPERLINK("https://hospitalinfantildesanjose.org.co/nuestro-hospital.html?view=category&amp;id=67","CREISI Program - Reference Center for Inborn Errors of the Immune System, San José Children's University Hospital")</f>
        <v>CREISI Program - Reference Center for Inborn Errors of the Immune System, San José Children's University Hospital</v>
      </c>
      <c r="C47" s="52" t="s">
        <v>15</v>
      </c>
      <c r="D47" s="52" t="s">
        <v>280</v>
      </c>
      <c r="E47" s="52" t="s">
        <v>2070</v>
      </c>
      <c r="F47" s="2" t="s">
        <v>2071</v>
      </c>
      <c r="G47" s="52"/>
    </row>
    <row r="48" spans="1:7" s="53" customFormat="1" ht="15.95" customHeight="1">
      <c r="A48" s="50">
        <v>44</v>
      </c>
      <c r="B48" s="51" t="str">
        <f>HYPERLINK("https://fundacion-fip.org/cjmc/","Primary Immunodeficiencies Group, University of Antioquia (CJM-UDEA)")</f>
        <v>Primary Immunodeficiencies Group, University of Antioquia (CJM-UDEA)</v>
      </c>
      <c r="C48" s="52" t="s">
        <v>15</v>
      </c>
      <c r="D48" s="52" t="s">
        <v>280</v>
      </c>
      <c r="E48" s="52" t="s">
        <v>1557</v>
      </c>
      <c r="F48" s="2" t="s">
        <v>2072</v>
      </c>
      <c r="G48" s="52"/>
    </row>
    <row r="49" spans="1:7" s="53" customFormat="1" ht="15.95" customHeight="1">
      <c r="A49" s="50">
        <v>45</v>
      </c>
      <c r="B49" s="51" t="str">
        <f>HYPERLINK("https://hopital-necker.aphp.fr/immuno-hematologie-pediatrique#1576077032714-754953ff-32f4","Public Assistance-Paris Hospitals, Necker Hospital for Sick Children")</f>
        <v>Public Assistance-Paris Hospitals, Necker Hospital for Sick Children</v>
      </c>
      <c r="C49" s="52" t="s">
        <v>15</v>
      </c>
      <c r="D49" s="52" t="s">
        <v>88</v>
      </c>
      <c r="E49" s="52" t="s">
        <v>2067</v>
      </c>
      <c r="F49" s="2" t="s">
        <v>2073</v>
      </c>
      <c r="G49" s="52"/>
    </row>
    <row r="50" spans="1:7" s="53" customFormat="1" ht="15.95" customHeight="1">
      <c r="A50" s="50">
        <v>46</v>
      </c>
      <c r="B50" s="51" t="str">
        <f>HYPERLINK("https://www.orpha.net/fr/expert-centres/centre/174826?orphaCode=174826","Toulouse University Hospital - Children's Hospital")</f>
        <v>Toulouse University Hospital - Children's Hospital</v>
      </c>
      <c r="C50" s="52" t="s">
        <v>15</v>
      </c>
      <c r="D50" s="52" t="s">
        <v>88</v>
      </c>
      <c r="E50" s="52" t="s">
        <v>2074</v>
      </c>
      <c r="F50" s="2" t="s">
        <v>2075</v>
      </c>
      <c r="G50" s="52"/>
    </row>
    <row r="51" spans="1:7" s="53" customFormat="1" ht="15.95" customHeight="1">
      <c r="A51" s="50">
        <v>47</v>
      </c>
      <c r="B51" s="51" t="str">
        <f>HYPERLINK("https://www.medizin.uni-tuebingen.de/de/das-klinikum/einrichtungen/institute/immunologie#team","Tübingen University Hospital")</f>
        <v>Tübingen University Hospital</v>
      </c>
      <c r="C51" s="52" t="s">
        <v>15</v>
      </c>
      <c r="D51" s="52" t="s">
        <v>91</v>
      </c>
      <c r="E51" s="52" t="s">
        <v>2048</v>
      </c>
      <c r="F51" s="2" t="s">
        <v>2076</v>
      </c>
      <c r="G51" s="52"/>
    </row>
    <row r="52" spans="1:7" s="53" customFormat="1" ht="15.95" customHeight="1">
      <c r="A52" s="50">
        <v>48</v>
      </c>
      <c r="B52" s="51" t="str">
        <f>HYPERLINK("https://www.uniklinik-ulm.de/immunologie.html","Ulm University Hospital")</f>
        <v>Ulm University Hospital</v>
      </c>
      <c r="C52" s="52" t="s">
        <v>15</v>
      </c>
      <c r="D52" s="52" t="s">
        <v>91</v>
      </c>
      <c r="E52" s="52" t="s">
        <v>2048</v>
      </c>
      <c r="F52" s="2" t="s">
        <v>2077</v>
      </c>
      <c r="G52" s="52"/>
    </row>
    <row r="53" spans="1:7" s="53" customFormat="1" ht="15.95" customHeight="1">
      <c r="A53" s="50">
        <v>49</v>
      </c>
      <c r="B53" s="51" t="str">
        <f>HYPERLINK("https://www.uniklinikum-dresden.de/de/das-klinikum/universitaetscentren/universitaetscentrum-fuer-chronische-immundefizienzen","University Hospital Carl Gustav Carus")</f>
        <v>University Hospital Carl Gustav Carus</v>
      </c>
      <c r="C53" s="52" t="s">
        <v>15</v>
      </c>
      <c r="D53" s="52" t="s">
        <v>91</v>
      </c>
      <c r="E53" s="52" t="s">
        <v>2067</v>
      </c>
      <c r="F53" s="2" t="s">
        <v>2078</v>
      </c>
      <c r="G53" s="52"/>
    </row>
    <row r="54" spans="1:7" s="53" customFormat="1" ht="15.95" customHeight="1">
      <c r="A54" s="50">
        <v>50</v>
      </c>
      <c r="B54" s="51" t="str">
        <f>HYPERLINK("https://www.uniklinik-freiburg.de/rheuim.html","University Hospital Freiburg")</f>
        <v>University Hospital Freiburg</v>
      </c>
      <c r="C54" s="52" t="s">
        <v>15</v>
      </c>
      <c r="D54" s="52" t="s">
        <v>91</v>
      </c>
      <c r="E54" s="52" t="s">
        <v>2048</v>
      </c>
      <c r="F54" s="2" t="s">
        <v>2079</v>
      </c>
      <c r="G54" s="52"/>
    </row>
    <row r="55" spans="1:7" s="53" customFormat="1" ht="15.95" customHeight="1">
      <c r="A55" s="50">
        <v>51</v>
      </c>
      <c r="B55" s="51" t="str">
        <f>HYPERLINK("https://www.policlinico.mi.it/en/units/33/medicine-immunology-and-allergology","IRCCS Foundation Ca' Granda Hospital Maggiore Polyclinic")</f>
        <v>IRCCS Foundation Ca' Granda Hospital Maggiore Polyclinic</v>
      </c>
      <c r="C55" s="52" t="s">
        <v>15</v>
      </c>
      <c r="D55" s="52" t="s">
        <v>16</v>
      </c>
      <c r="E55" s="52" t="s">
        <v>2080</v>
      </c>
      <c r="F55" s="2" t="s">
        <v>2081</v>
      </c>
      <c r="G55" s="52"/>
    </row>
    <row r="56" spans="1:7" s="53" customFormat="1" ht="15.95" customHeight="1">
      <c r="A56" s="50">
        <v>52</v>
      </c>
      <c r="B56" s="51" t="str">
        <f>HYPERLINK("https://www.kfshrc.edu.sa/ar/healthcare/specialties-and-centers/specialties-and-centers-riyadh/pediatrics","Department of Pediatrics, King Faisal Specialist Hospital and Research Centre - Riyadh")</f>
        <v>Department of Pediatrics, King Faisal Specialist Hospital and Research Centre - Riyadh</v>
      </c>
      <c r="C56" s="52" t="s">
        <v>15</v>
      </c>
      <c r="D56" s="52" t="s">
        <v>299</v>
      </c>
      <c r="E56" s="52" t="s">
        <v>2082</v>
      </c>
      <c r="F56" s="2" t="s">
        <v>2083</v>
      </c>
      <c r="G56" s="52"/>
    </row>
    <row r="57" spans="1:7" s="53" customFormat="1" ht="15.95" customHeight="1">
      <c r="A57" s="50">
        <v>53</v>
      </c>
      <c r="B57" s="51" t="str">
        <f>HYPERLINK("https://www.clinicbarcelona.org/servicio/inmunologia","Hospital Clínic of Barcelona")</f>
        <v>Hospital Clínic of Barcelona</v>
      </c>
      <c r="C57" s="52" t="s">
        <v>15</v>
      </c>
      <c r="D57" s="52" t="s">
        <v>107</v>
      </c>
      <c r="E57" s="52" t="s">
        <v>1557</v>
      </c>
      <c r="F57" s="2" t="s">
        <v>2084</v>
      </c>
      <c r="G57" s="52"/>
    </row>
    <row r="58" spans="1:7" s="53" customFormat="1" ht="15.95" customHeight="1">
      <c r="A58" s="50">
        <v>54</v>
      </c>
      <c r="B58" s="51" t="str">
        <f>HYPERLINK("https://hospitaluvrocio.es/unidad/pediatria/","Infectology, Rheumatology and Immunology Section, Virgen del Rocio Children's Hospital")</f>
        <v>Infectology, Rheumatology and Immunology Section, Virgen del Rocio Children's Hospital</v>
      </c>
      <c r="C58" s="52" t="s">
        <v>15</v>
      </c>
      <c r="D58" s="52" t="s">
        <v>107</v>
      </c>
      <c r="E58" s="52" t="s">
        <v>1557</v>
      </c>
      <c r="F58" s="2" t="s">
        <v>2085</v>
      </c>
      <c r="G58" s="52"/>
    </row>
    <row r="59" spans="1:7" s="53" customFormat="1" ht="15.95" customHeight="1">
      <c r="A59" s="50">
        <v>55</v>
      </c>
      <c r="B59" s="51" t="str">
        <f>HYPERLINK("https://www.saludadiario.es/hospital/el-gregorio-maranon-centro-de-referencia-nacional-en-inmunodeficiencias-primarias/","Primary Immunodeficiencies Unit, Gregorio Marañón University Hospital")</f>
        <v>Primary Immunodeficiencies Unit, Gregorio Marañón University Hospital</v>
      </c>
      <c r="C59" s="52" t="s">
        <v>15</v>
      </c>
      <c r="D59" s="52" t="s">
        <v>107</v>
      </c>
      <c r="E59" s="52" t="s">
        <v>1557</v>
      </c>
      <c r="F59" s="2" t="s">
        <v>2086</v>
      </c>
      <c r="G59" s="52"/>
    </row>
    <row r="60" spans="1:7" s="53" customFormat="1" ht="15.95" customHeight="1">
      <c r="A60" s="50">
        <v>56</v>
      </c>
      <c r="B60" s="51" t="str">
        <f>HYPERLINK("https://www.sjdhospitalbarcelona.org/es/servicios-asistenciales/alergia-inmunologia-clinica","SJD Barcelona Children's Hospital")</f>
        <v>SJD Barcelona Children's Hospital</v>
      </c>
      <c r="C60" s="52" t="s">
        <v>15</v>
      </c>
      <c r="D60" s="52" t="s">
        <v>107</v>
      </c>
      <c r="E60" s="52" t="s">
        <v>1557</v>
      </c>
      <c r="F60" s="2" t="s">
        <v>2087</v>
      </c>
      <c r="G60" s="52"/>
    </row>
    <row r="61" spans="1:7" s="53" customFormat="1" ht="15.95" customHeight="1">
      <c r="A61" s="50">
        <v>57</v>
      </c>
      <c r="B61" s="51" t="str">
        <f>HYPERLINK("https://vhir.vallhebron.com/en/society/news/jeffrey-modell-foundation-recognizes-vall-dhebron-centre-excellence","Vall d'Hebron Barcelona Hospital")</f>
        <v>Vall d'Hebron Barcelona Hospital</v>
      </c>
      <c r="C61" s="52" t="s">
        <v>15</v>
      </c>
      <c r="D61" s="52" t="s">
        <v>107</v>
      </c>
      <c r="E61" s="52" t="s">
        <v>1557</v>
      </c>
      <c r="F61" s="2" t="s">
        <v>2088</v>
      </c>
      <c r="G61" s="52"/>
    </row>
    <row r="62" spans="1:7" s="53" customFormat="1" ht="15.95" customHeight="1">
      <c r="A62" s="50">
        <v>58</v>
      </c>
      <c r="B62" s="51" t="str">
        <f>HYPERLINK("https://ankarasehir.saglik.gov.tr/TR-368699/cocuk-immunoloji-ve-alerji-hastaliklari.html","Ankara Bilkent City Hospital")</f>
        <v>Ankara Bilkent City Hospital</v>
      </c>
      <c r="C62" s="52" t="s">
        <v>15</v>
      </c>
      <c r="D62" s="52" t="s">
        <v>2043</v>
      </c>
      <c r="E62" s="52" t="s">
        <v>1557</v>
      </c>
      <c r="F62" s="2" t="s">
        <v>2089</v>
      </c>
      <c r="G62" s="52"/>
    </row>
    <row r="63" spans="1:7" s="53" customFormat="1" ht="15.95" customHeight="1">
      <c r="A63" s="50">
        <v>59</v>
      </c>
      <c r="B63" s="51" t="str">
        <f>HYPERLINK("https://marmaraeah.saglik.gov.tr/TR-1135300/cocuk-immunolojisi-amp-alerji-hastaliklari.html","Pediatric Allergy-Immunology Department, Marmara University")</f>
        <v>Pediatric Allergy-Immunology Department, Marmara University</v>
      </c>
      <c r="C63" s="52" t="s">
        <v>15</v>
      </c>
      <c r="D63" s="52" t="s">
        <v>2043</v>
      </c>
      <c r="E63" s="52" t="s">
        <v>1557</v>
      </c>
      <c r="F63" s="2" t="s">
        <v>2090</v>
      </c>
      <c r="G63" s="52"/>
    </row>
    <row r="64" spans="1:7" s="53" customFormat="1" ht="15.95" customHeight="1">
      <c r="A64" s="50">
        <v>60</v>
      </c>
      <c r="B64" s="51" t="str">
        <f>HYPERLINK("https://www.expmedndm.ox.ac.uk/research/clinical-immunology","Clinical Immunology Group, Nuffield Department of Medicine")</f>
        <v>Clinical Immunology Group, Nuffield Department of Medicine</v>
      </c>
      <c r="C64" s="52" t="s">
        <v>15</v>
      </c>
      <c r="D64" s="52" t="s">
        <v>17</v>
      </c>
      <c r="E64" s="52" t="s">
        <v>1557</v>
      </c>
      <c r="F64" s="2" t="s">
        <v>2091</v>
      </c>
      <c r="G64" s="52"/>
    </row>
    <row r="65" spans="1:7" s="53" customFormat="1" ht="15.95" customHeight="1">
      <c r="A65" s="50">
        <v>61</v>
      </c>
      <c r="B65" s="51" t="str">
        <f>HYPERLINK("https://www.gosh.ae/conditions/immunology","Great Ormond Street Hospital for Children")</f>
        <v>Great Ormond Street Hospital for Children</v>
      </c>
      <c r="C65" s="52" t="s">
        <v>15</v>
      </c>
      <c r="D65" s="52" t="s">
        <v>17</v>
      </c>
      <c r="E65" s="52" t="s">
        <v>1557</v>
      </c>
      <c r="F65" s="2" t="s">
        <v>2092</v>
      </c>
      <c r="G65" s="52"/>
    </row>
    <row r="66" spans="1:7" s="53" customFormat="1" ht="15.95" customHeight="1">
      <c r="A66" s="50">
        <v>62</v>
      </c>
      <c r="B66" s="51" t="str">
        <f>HYPERLINK("https://www.leedsth.nhs.uk/services/allergy-and-clinical-immunology/","Leeds Teaching Hospitals NHS Trust")</f>
        <v>Leeds Teaching Hospitals NHS Trust</v>
      </c>
      <c r="C66" s="52" t="s">
        <v>15</v>
      </c>
      <c r="D66" s="52" t="s">
        <v>17</v>
      </c>
      <c r="E66" s="52" t="s">
        <v>2046</v>
      </c>
      <c r="F66" s="2" t="s">
        <v>2093</v>
      </c>
      <c r="G66" s="52"/>
    </row>
    <row r="67" spans="1:7" s="53" customFormat="1" ht="15.95" customHeight="1">
      <c r="A67" s="50">
        <v>63</v>
      </c>
      <c r="B67" s="51" t="str">
        <f>HYPERLINK("https://www.newcastle-hospitals.nhs.uk/services/immunology-and-allergy-unit/","Newcastle upon Tyne Hospitals NHS Foundation Trust")</f>
        <v>Newcastle upon Tyne Hospitals NHS Foundation Trust</v>
      </c>
      <c r="C67" s="52" t="s">
        <v>15</v>
      </c>
      <c r="D67" s="52" t="s">
        <v>17</v>
      </c>
      <c r="E67" s="52" t="s">
        <v>2094</v>
      </c>
      <c r="F67" s="2" t="s">
        <v>2095</v>
      </c>
      <c r="G67" s="52"/>
    </row>
    <row r="68" spans="1:7" s="53" customFormat="1" ht="15.95" customHeight="1">
      <c r="A68" s="50">
        <v>64</v>
      </c>
      <c r="B68" s="51" t="str">
        <f>HYPERLINK("https://www.ucl.ac.uk/immunity-transplantation","UCL Institute of Immunity and Transplantation")</f>
        <v>UCL Institute of Immunity and Transplantation</v>
      </c>
      <c r="C68" s="52" t="s">
        <v>15</v>
      </c>
      <c r="D68" s="52" t="s">
        <v>17</v>
      </c>
      <c r="E68" s="52" t="s">
        <v>1552</v>
      </c>
      <c r="F68" s="2" t="s">
        <v>2096</v>
      </c>
      <c r="G68" s="52"/>
    </row>
    <row r="69" spans="1:7" s="53" customFormat="1" ht="15.95" customHeight="1">
      <c r="A69" s="50">
        <v>65</v>
      </c>
      <c r="B69" s="51" t="str">
        <f>HYPERLINK("https://allergyandimmunology.heartofengland.nhs.uk/immunodeficiency/","West Midlands Immunodeficiency Centre")</f>
        <v>West Midlands Immunodeficiency Centre</v>
      </c>
      <c r="C69" s="52" t="s">
        <v>15</v>
      </c>
      <c r="D69" s="52" t="s">
        <v>17</v>
      </c>
      <c r="E69" s="52" t="s">
        <v>2067</v>
      </c>
      <c r="F69" s="2" t="s">
        <v>2097</v>
      </c>
      <c r="G69" s="52"/>
    </row>
    <row r="70" spans="1:7" s="53" customFormat="1" ht="15.95" customHeight="1">
      <c r="A70" s="50">
        <v>66</v>
      </c>
      <c r="B70" s="51" t="str">
        <f>HYPERLINK("https://www.luriechildrens.org/en/specialties-conditions/pediatric-allergy-immunology/","Ann &amp; Robert H. Lurie Children's Hospital of Chicago")</f>
        <v>Ann &amp; Robert H. Lurie Children's Hospital of Chicago</v>
      </c>
      <c r="C70" s="52" t="s">
        <v>15</v>
      </c>
      <c r="D70" s="52" t="s">
        <v>18</v>
      </c>
      <c r="E70" s="52" t="s">
        <v>1557</v>
      </c>
      <c r="F70" s="2" t="s">
        <v>2098</v>
      </c>
      <c r="G70" s="52"/>
    </row>
    <row r="71" spans="1:7" s="53" customFormat="1" ht="15.95" customHeight="1">
      <c r="A71" s="50">
        <v>67</v>
      </c>
      <c r="B71" s="51" t="str">
        <f>HYPERLINK("https://www.childrenshospital.org/programs/immunology-program","Boston Children’s Hospital")</f>
        <v>Boston Children’s Hospital</v>
      </c>
      <c r="C71" s="52" t="s">
        <v>15</v>
      </c>
      <c r="D71" s="52" t="s">
        <v>18</v>
      </c>
      <c r="E71" s="52" t="s">
        <v>1557</v>
      </c>
      <c r="F71" s="2" t="s">
        <v>2099</v>
      </c>
      <c r="G71" s="52"/>
    </row>
    <row r="72" spans="1:7" s="53" customFormat="1" ht="15.95" customHeight="1">
      <c r="A72" s="50">
        <v>68</v>
      </c>
      <c r="B72" s="51" t="str">
        <f>HYPERLINK("https://www.stjude.org/research/centers-of-excellence/coe-iii.html","Center of Excellence for Innate Immunity and Inflammation, St. Jude Children's Research Hospital")</f>
        <v>Center of Excellence for Innate Immunity and Inflammation, St. Jude Children's Research Hospital</v>
      </c>
      <c r="C72" s="52" t="s">
        <v>15</v>
      </c>
      <c r="D72" s="52" t="s">
        <v>18</v>
      </c>
      <c r="E72" s="52" t="s">
        <v>2048</v>
      </c>
      <c r="F72" s="2" t="s">
        <v>2100</v>
      </c>
      <c r="G72" s="52"/>
    </row>
    <row r="73" spans="1:7" s="53" customFormat="1" ht="15.95" customHeight="1">
      <c r="A73" s="50">
        <v>69</v>
      </c>
      <c r="B73" s="51" t="str">
        <f>HYPERLINK("https://www.chla.org/clinical-immunology-and-allergy/primary-immunodeficiencies-diagnostic-and-research-program","Children’s Hospital Los Angeles")</f>
        <v>Children’s Hospital Los Angeles</v>
      </c>
      <c r="C73" s="52" t="s">
        <v>15</v>
      </c>
      <c r="D73" s="52" t="s">
        <v>18</v>
      </c>
      <c r="E73" s="52" t="s">
        <v>1557</v>
      </c>
      <c r="F73" s="2" t="s">
        <v>2101</v>
      </c>
      <c r="G73" s="52"/>
    </row>
    <row r="74" spans="1:7" s="53" customFormat="1" ht="15.95" customHeight="1">
      <c r="A74" s="50">
        <v>70</v>
      </c>
      <c r="B74" s="51" t="str">
        <f>HYPERLINK("https://www.chop.edu/centers-programs/immunology-service/why-choose-us","Children’s Hospital of Philadelphia")</f>
        <v>Children’s Hospital of Philadelphia</v>
      </c>
      <c r="C74" s="52" t="s">
        <v>15</v>
      </c>
      <c r="D74" s="52" t="s">
        <v>18</v>
      </c>
      <c r="E74" s="52" t="s">
        <v>1557</v>
      </c>
      <c r="F74" s="2" t="s">
        <v>2102</v>
      </c>
      <c r="G74" s="52"/>
    </row>
    <row r="75" spans="1:7" s="53" customFormat="1" ht="15.95" customHeight="1">
      <c r="A75" s="50">
        <v>71</v>
      </c>
      <c r="B75" s="51" t="str">
        <f>HYPERLINK("https://research.childrensnational.org/center-for-cancer-and-immunology/research/immunology-immunodeficiency","Children's National Hospital")</f>
        <v>Children's National Hospital</v>
      </c>
      <c r="C75" s="52" t="s">
        <v>15</v>
      </c>
      <c r="D75" s="52" t="s">
        <v>18</v>
      </c>
      <c r="E75" s="52" t="s">
        <v>1557</v>
      </c>
      <c r="F75" s="2" t="s">
        <v>2103</v>
      </c>
      <c r="G75" s="52"/>
    </row>
    <row r="76" spans="1:7" s="53" customFormat="1" ht="15.95" customHeight="1">
      <c r="A76" s="50">
        <v>72</v>
      </c>
      <c r="B76" s="51" t="str">
        <f>HYPERLINK("https://childrenswi.org/medical-care/immune-deficiency","Children's Wisconsin")</f>
        <v>Children's Wisconsin</v>
      </c>
      <c r="C76" s="52" t="s">
        <v>15</v>
      </c>
      <c r="D76" s="52" t="s">
        <v>18</v>
      </c>
      <c r="E76" s="52" t="s">
        <v>1557</v>
      </c>
      <c r="F76" s="2" t="s">
        <v>2104</v>
      </c>
      <c r="G76" s="52"/>
    </row>
    <row r="77" spans="1:7" s="53" customFormat="1" ht="15.95" customHeight="1">
      <c r="A77" s="50">
        <v>73</v>
      </c>
      <c r="B77" s="51" t="str">
        <f>HYPERLINK("https://pediatrics.northwell.edu/departments-services/jeffrey-modell-diagnostic-center","Cohen Children's Medical Center - Northwell Health")</f>
        <v>Cohen Children's Medical Center - Northwell Health</v>
      </c>
      <c r="C77" s="52" t="s">
        <v>15</v>
      </c>
      <c r="D77" s="52" t="s">
        <v>18</v>
      </c>
      <c r="E77" s="52" t="s">
        <v>1557</v>
      </c>
      <c r="F77" s="2" t="s">
        <v>2105</v>
      </c>
      <c r="G77" s="52"/>
    </row>
    <row r="78" spans="1:7" s="53" customFormat="1" ht="15.95" customHeight="1">
      <c r="A78" s="50">
        <v>74</v>
      </c>
      <c r="B78" s="51" t="str">
        <f>HYPERLINK("https://www.cincinnatichildrens.org/service/d/dchi","Diagnostic Center for Heritable Immunodeficiencies, Cincinnati Children's Hospital Medical Center")</f>
        <v>Diagnostic Center for Heritable Immunodeficiencies, Cincinnati Children's Hospital Medical Center</v>
      </c>
      <c r="C78" s="52" t="s">
        <v>15</v>
      </c>
      <c r="D78" s="52" t="s">
        <v>18</v>
      </c>
      <c r="E78" s="52" t="s">
        <v>2106</v>
      </c>
      <c r="F78" s="2" t="s">
        <v>2107</v>
      </c>
      <c r="G78" s="52"/>
    </row>
    <row r="79" spans="1:7" s="53" customFormat="1" ht="15.95" customHeight="1">
      <c r="A79" s="50">
        <v>75</v>
      </c>
      <c r="B79" s="51" t="str">
        <f>HYPERLINK("https://www.dukehealth.org/pediatric-treatments/pediatric-allergy-and-immunology/primary-immunodeficiency-diseases?docsShowing=10&amp;showMiniFAD=1&amp;scrollPos=598.359375","Duke University Medical Center")</f>
        <v>Duke University Medical Center</v>
      </c>
      <c r="C79" s="52" t="s">
        <v>15</v>
      </c>
      <c r="D79" s="52" t="s">
        <v>18</v>
      </c>
      <c r="E79" s="52" t="s">
        <v>1557</v>
      </c>
      <c r="F79" s="2" t="s">
        <v>2108</v>
      </c>
      <c r="G79" s="52"/>
    </row>
    <row r="80" spans="1:7" s="53" customFormat="1" ht="15.95" customHeight="1">
      <c r="A80" s="50">
        <v>76</v>
      </c>
      <c r="B80" s="51" t="str">
        <f>HYPERLINK("https://www.hopkinscim.org/initiatives/about-pi/","Johns Hopkins Center for Adult Primary Immunodeficiency")</f>
        <v>Johns Hopkins Center for Adult Primary Immunodeficiency</v>
      </c>
      <c r="C80" s="52" t="s">
        <v>15</v>
      </c>
      <c r="D80" s="52" t="s">
        <v>18</v>
      </c>
      <c r="E80" s="52" t="s">
        <v>1557</v>
      </c>
      <c r="F80" s="2" t="s">
        <v>2109</v>
      </c>
      <c r="G80" s="52"/>
    </row>
    <row r="81" spans="1:7" s="53" customFormat="1" ht="15.95" customHeight="1">
      <c r="A81" s="50">
        <v>77</v>
      </c>
      <c r="B81" s="51" t="str">
        <f>HYPERLINK("https://www.medschool.lsuhsc.edu/Pediatrics/jmc_about.aspx","Louisiana State University Health Sciences Center")</f>
        <v>Louisiana State University Health Sciences Center</v>
      </c>
      <c r="C81" s="52" t="s">
        <v>15</v>
      </c>
      <c r="D81" s="52" t="s">
        <v>18</v>
      </c>
      <c r="E81" s="52" t="s">
        <v>1557</v>
      </c>
      <c r="F81" s="2" t="s">
        <v>2110</v>
      </c>
      <c r="G81" s="52"/>
    </row>
    <row r="82" spans="1:7" s="53" customFormat="1" ht="15.95" customHeight="1">
      <c r="A82" s="50">
        <v>78</v>
      </c>
      <c r="B82" s="51" t="str">
        <f>HYPERLINK("https://www.stanfordchildrens.org/en/services/immune-deficiency","Lucile Packard Children’s Hospital Stanford")</f>
        <v>Lucile Packard Children’s Hospital Stanford</v>
      </c>
      <c r="C82" s="52" t="s">
        <v>15</v>
      </c>
      <c r="D82" s="52" t="s">
        <v>18</v>
      </c>
      <c r="E82" s="52" t="s">
        <v>1557</v>
      </c>
      <c r="F82" s="2" t="s">
        <v>2111</v>
      </c>
      <c r="G82" s="52"/>
    </row>
    <row r="83" spans="1:7" s="53" customFormat="1" ht="15.95" customHeight="1">
      <c r="A83" s="50">
        <v>79</v>
      </c>
      <c r="B83" s="51" t="str">
        <f>HYPERLINK("https://www.mayoclinic.org/departments-centers/primary-immunodeficiency-center-minnesota/sections/research/rsc-20564251","Mayo Clinic Primary Immunodeficiency Center")</f>
        <v>Mayo Clinic Primary Immunodeficiency Center</v>
      </c>
      <c r="C83" s="52" t="s">
        <v>15</v>
      </c>
      <c r="D83" s="52" t="s">
        <v>18</v>
      </c>
      <c r="E83" s="52" t="s">
        <v>1557</v>
      </c>
      <c r="F83" s="2" t="s">
        <v>2112</v>
      </c>
      <c r="G83" s="52"/>
    </row>
    <row r="84" spans="1:7" s="53" customFormat="1" ht="15.95" customHeight="1">
      <c r="A84" s="50">
        <v>80</v>
      </c>
      <c r="B84" s="51" t="str">
        <f>HYPERLINK("https://musckids.org/our-services/immunology-services","MUSC Health")</f>
        <v>MUSC Health</v>
      </c>
      <c r="C84" s="52" t="s">
        <v>15</v>
      </c>
      <c r="D84" s="52" t="s">
        <v>18</v>
      </c>
      <c r="E84" s="52" t="s">
        <v>1557</v>
      </c>
      <c r="F84" s="2" t="s">
        <v>2113</v>
      </c>
      <c r="G84" s="52"/>
    </row>
    <row r="85" spans="1:7" s="53" customFormat="1" ht="15.95" customHeight="1">
      <c r="A85" s="50">
        <v>81</v>
      </c>
      <c r="B85" s="51" t="str">
        <f>HYPERLINK("https://www.nationwidechildrens.org/newsroom/news-releases/2019/05/jeffrey-modell-foundation","Nationwide Children’s Hospital")</f>
        <v>Nationwide Children’s Hospital</v>
      </c>
      <c r="C85" s="52" t="s">
        <v>15</v>
      </c>
      <c r="D85" s="52" t="s">
        <v>18</v>
      </c>
      <c r="E85" s="52" t="s">
        <v>1557</v>
      </c>
      <c r="F85" s="2" t="s">
        <v>2114</v>
      </c>
      <c r="G85" s="52"/>
    </row>
    <row r="86" spans="1:7" s="53" customFormat="1" ht="15.95" customHeight="1">
      <c r="A86" s="50">
        <v>82</v>
      </c>
      <c r="B86" s="51" t="str">
        <f>HYPERLINK("https://www.stlouischildrens.org/media-newsroom/news-releases/jeffrey-modell-foundation-offers-hope-children-primary","St. Louis Children’s Hospital")</f>
        <v>St. Louis Children’s Hospital</v>
      </c>
      <c r="C86" s="52" t="s">
        <v>15</v>
      </c>
      <c r="D86" s="52" t="s">
        <v>18</v>
      </c>
      <c r="E86" s="52" t="s">
        <v>1557</v>
      </c>
      <c r="F86" s="2" t="s">
        <v>2115</v>
      </c>
      <c r="G86" s="52"/>
    </row>
    <row r="87" spans="1:7" s="53" customFormat="1" ht="15.95" customHeight="1">
      <c r="A87" s="50">
        <v>83</v>
      </c>
      <c r="B87" s="51" t="str">
        <f>HYPERLINK("https://www.texaschildrens.org/departments/allergy-immunology","Texas Children's Hospital")</f>
        <v>Texas Children's Hospital</v>
      </c>
      <c r="C87" s="52" t="s">
        <v>15</v>
      </c>
      <c r="D87" s="52" t="s">
        <v>18</v>
      </c>
      <c r="E87" s="52" t="s">
        <v>1557</v>
      </c>
      <c r="F87" s="2" t="s">
        <v>2116</v>
      </c>
      <c r="G87" s="52"/>
    </row>
    <row r="88" spans="1:7" s="53" customFormat="1" ht="15.95" customHeight="1">
      <c r="A88" s="50">
        <v>84</v>
      </c>
      <c r="B88" s="51" t="str">
        <f>HYPERLINK("https://www.ucihealth.org/medical-services/allergy-immunology","UCI Health")</f>
        <v>UCI Health</v>
      </c>
      <c r="C88" s="52" t="s">
        <v>15</v>
      </c>
      <c r="D88" s="52" t="s">
        <v>18</v>
      </c>
      <c r="E88" s="52" t="s">
        <v>1557</v>
      </c>
      <c r="F88" s="2" t="s">
        <v>2117</v>
      </c>
      <c r="G88" s="52"/>
    </row>
    <row r="89" spans="1:7" s="53" customFormat="1" ht="15.95" customHeight="1">
      <c r="A89" s="50">
        <v>85</v>
      </c>
      <c r="B89" s="51" t="str">
        <f>HYPERLINK("https://www.uhhospitals.org/rainbow/services/pediatric-allergy-and-immunology/conditions-and-treatments/jeffrey-modell-diagnostic-center-for-primary-immunodeficiencies","University Hospitals Rainbow Babies &amp; Children’s Hospital")</f>
        <v>University Hospitals Rainbow Babies &amp; Children’s Hospital</v>
      </c>
      <c r="C89" s="52" t="s">
        <v>15</v>
      </c>
      <c r="D89" s="52" t="s">
        <v>18</v>
      </c>
      <c r="E89" s="52" t="s">
        <v>1557</v>
      </c>
      <c r="F89" s="2" t="s">
        <v>2118</v>
      </c>
      <c r="G89" s="52"/>
    </row>
    <row r="90" spans="1:7" s="53" customFormat="1" ht="15.95" customHeight="1">
      <c r="A90" s="50">
        <v>86</v>
      </c>
      <c r="B90" s="51" t="str">
        <f>HYPERLINK("https://www.ucsfbenioffchildrens.org/clinics/immunology-center","University of California, San Francisco")</f>
        <v>University of California, San Francisco</v>
      </c>
      <c r="C90" s="52" t="s">
        <v>15</v>
      </c>
      <c r="D90" s="52" t="s">
        <v>18</v>
      </c>
      <c r="E90" s="52" t="s">
        <v>1557</v>
      </c>
      <c r="F90" s="2" t="s">
        <v>2119</v>
      </c>
      <c r="G90" s="52"/>
    </row>
  </sheetData>
  <autoFilter ref="A4:G90"/>
  <mergeCells count="2">
    <mergeCell ref="A1:G1"/>
    <mergeCell ref="A2:G3"/>
  </mergeCells>
  <hyperlinks>
    <hyperlink ref="F37" r:id="rId1"/>
    <hyperlink ref="F38" r:id="rId2"/>
    <hyperlink ref="F39" r:id="rId3"/>
    <hyperlink ref="F40" r:id="rId4"/>
    <hyperlink ref="F41" r:id="rId5"/>
    <hyperlink ref="F42" r:id="rId6"/>
    <hyperlink ref="F49" r:id="rId7" location="1576077032714-754953ff-32f4"/>
    <hyperlink ref="F50" r:id="rId8"/>
    <hyperlink ref="F51" r:id="rId9" location="team"/>
    <hyperlink ref="F52" r:id="rId10"/>
    <hyperlink ref="F53" r:id="rId11"/>
    <hyperlink ref="F54" r:id="rId12"/>
    <hyperlink ref="F55" r:id="rId13"/>
    <hyperlink ref="F57" r:id="rId14"/>
    <hyperlink ref="F58" r:id="rId15"/>
    <hyperlink ref="F59" r:id="rId16"/>
    <hyperlink ref="F60" r:id="rId17"/>
    <hyperlink ref="F61" r:id="rId18"/>
    <hyperlink ref="F65" r:id="rId19"/>
    <hyperlink ref="F66" r:id="rId20"/>
    <hyperlink ref="F67" r:id="rId21"/>
    <hyperlink ref="F70" r:id="rId22"/>
    <hyperlink ref="F71" r:id="rId23"/>
    <hyperlink ref="F73" r:id="rId24"/>
    <hyperlink ref="F74" r:id="rId25"/>
    <hyperlink ref="F75" r:id="rId26"/>
    <hyperlink ref="F76" r:id="rId27"/>
    <hyperlink ref="F77" r:id="rId28"/>
    <hyperlink ref="F78" r:id="rId29"/>
    <hyperlink ref="F79" r:id="rId30"/>
    <hyperlink ref="F80" r:id="rId31"/>
    <hyperlink ref="F81" r:id="rId32"/>
    <hyperlink ref="F82" r:id="rId33"/>
    <hyperlink ref="F83" r:id="rId34"/>
    <hyperlink ref="F84" r:id="rId35"/>
    <hyperlink ref="F85" r:id="rId36"/>
    <hyperlink ref="F86" r:id="rId37"/>
    <hyperlink ref="F87" r:id="rId38"/>
    <hyperlink ref="F88" r:id="rId39"/>
    <hyperlink ref="F89" r:id="rId40"/>
    <hyperlink ref="F90" r:id="rId41"/>
    <hyperlink ref="F72" r:id="rId42"/>
    <hyperlink ref="F19" r:id="rId43"/>
    <hyperlink ref="F10" r:id="rId44"/>
    <hyperlink ref="F9" r:id="rId45"/>
    <hyperlink ref="F24" r:id="rId46"/>
    <hyperlink ref="F25" r:id="rId47"/>
    <hyperlink ref="F30" r:id="rId48"/>
    <hyperlink ref="F27" r:id="rId49"/>
    <hyperlink ref="F18" r:id="rId50"/>
    <hyperlink ref="F7" r:id="rId51"/>
    <hyperlink ref="F22" r:id="rId52"/>
    <hyperlink ref="F21" r:id="rId53"/>
    <hyperlink ref="F28" r:id="rId54"/>
    <hyperlink ref="F15" r:id="rId55"/>
    <hyperlink ref="F35" r:id="rId56"/>
    <hyperlink ref="F31" r:id="rId57"/>
    <hyperlink ref="F14" r:id="rId58"/>
    <hyperlink ref="F20" r:id="rId59"/>
    <hyperlink ref="F13" r:id="rId60"/>
    <hyperlink ref="F16" r:id="rId61"/>
    <hyperlink ref="F12" r:id="rId62"/>
    <hyperlink ref="F29" r:id="rId63"/>
    <hyperlink ref="F26" r:id="rId64"/>
    <hyperlink ref="F17" r:id="rId65"/>
    <hyperlink ref="F5" r:id="rId66"/>
    <hyperlink ref="F33" r:id="rId67"/>
    <hyperlink ref="F32" r:id="rId68"/>
    <hyperlink ref="F11" r:id="rId69"/>
    <hyperlink ref="F6" r:id="rId70"/>
    <hyperlink ref="F36" r:id="rId71"/>
    <hyperlink ref="F23" r:id="rId72"/>
    <hyperlink ref="F34" r:id="rId73"/>
    <hyperlink ref="F8" r:id="rId74"/>
    <hyperlink ref="F69" r:id="rId75"/>
    <hyperlink ref="F56" r:id="rId76"/>
    <hyperlink ref="F43" r:id="rId77"/>
    <hyperlink ref="F44" r:id="rId78"/>
    <hyperlink ref="F47" r:id="rId79"/>
    <hyperlink ref="F48" r:id="rId80"/>
    <hyperlink ref="F63" r:id="rId81"/>
    <hyperlink ref="F62" r:id="rId82"/>
    <hyperlink ref="F68" r:id="rId83"/>
    <hyperlink ref="F64" r:id="rId84"/>
    <hyperlink ref="F46" r:id="rId85"/>
    <hyperlink ref="F45" r:id="rId86"/>
  </hyperlinks>
  <pageMargins left="0.7" right="0.7" top="0.75" bottom="0.75" header="0.3" footer="0.3"/>
  <pageSetup orientation="portrait" r:id="rId8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7EB3696C166B4E98EC7230A836A500" ma:contentTypeVersion="21" ma:contentTypeDescription="Create a new document." ma:contentTypeScope="" ma:versionID="d0252fa9e8ce32db289fcc04af7da083">
  <xsd:schema xmlns:xsd="http://www.w3.org/2001/XMLSchema" xmlns:xs="http://www.w3.org/2001/XMLSchema" xmlns:p="http://schemas.microsoft.com/office/2006/metadata/properties" xmlns:ns2="a497d734-4801-40da-89ef-017d807fa2a8" xmlns:ns3="32bdb438-7d0f-4225-b594-ab5c81528ae2" targetNamespace="http://schemas.microsoft.com/office/2006/metadata/properties" ma:root="true" ma:fieldsID="b27134fb40eced3b7ae49a2ced564ec8" ns2:_="" ns3:_="">
    <xsd:import namespace="a497d734-4801-40da-89ef-017d807fa2a8"/>
    <xsd:import namespace="32bdb438-7d0f-4225-b594-ab5c81528ae2"/>
    <xsd:element name="properties">
      <xsd:complexType>
        <xsd:sequence>
          <xsd:element name="documentManagement">
            <xsd:complexType>
              <xsd:all>
                <xsd:element ref="ns2:SharedWithDetails" minOccurs="0"/>
                <xsd:element ref="ns2:SharedWithUser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2:TaxKeywordTaxHTField"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97d734-4801-40da-89ef-017d807fa2a8" elementFormDefault="qualified">
    <xsd:import namespace="http://schemas.microsoft.com/office/2006/documentManagement/types"/>
    <xsd:import namespace="http://schemas.microsoft.com/office/infopath/2007/PartnerControls"/>
    <xsd:element name="SharedWithDetails" ma:index="8" nillable="true" ma:displayName="Shared With Details" ma:description=""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3" nillable="true" ma:displayName="Taxonomy Catch All Column" ma:hidden="true" ma:list="{55cb9c4c-58e5-407b-9a70-3c8acc7b7146}" ma:internalName="TaxCatchAll" ma:showField="CatchAllData" ma:web="a497d734-4801-40da-89ef-017d807fa2a8">
      <xsd:complexType>
        <xsd:complexContent>
          <xsd:extension base="dms:MultiChoiceLookup">
            <xsd:sequence>
              <xsd:element name="Value" type="dms:Lookup" maxOccurs="unbounded" minOccurs="0" nillable="true"/>
            </xsd:sequence>
          </xsd:extension>
        </xsd:complexContent>
      </xsd:complexType>
    </xsd:element>
    <xsd:element name="TaxKeywordTaxHTField" ma:index="27"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2bdb438-7d0f-4225-b594-ab5c81528ae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23ccff-1beb-4bf6-8606-78be1bc4f3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97d734-4801-40da-89ef-017d807fa2a8" xsi:nil="true"/>
    <lcf76f155ced4ddcb4097134ff3c332f xmlns="32bdb438-7d0f-4225-b594-ab5c81528ae2">
      <Terms xmlns="http://schemas.microsoft.com/office/infopath/2007/PartnerControls"/>
    </lcf76f155ced4ddcb4097134ff3c332f>
    <TaxKeywordTaxHTField xmlns="a497d734-4801-40da-89ef-017d807fa2a8">
      <Terms xmlns="http://schemas.microsoft.com/office/infopath/2007/PartnerControls"/>
    </TaxKeywordTaxHTField>
  </documentManagement>
</p:properties>
</file>

<file path=customXml/itemProps1.xml><?xml version="1.0" encoding="utf-8"?>
<ds:datastoreItem xmlns:ds="http://schemas.openxmlformats.org/officeDocument/2006/customXml" ds:itemID="{FEDABA94-E25C-4C92-B733-C344F77E6EFC}"/>
</file>

<file path=customXml/itemProps2.xml><?xml version="1.0" encoding="utf-8"?>
<ds:datastoreItem xmlns:ds="http://schemas.openxmlformats.org/officeDocument/2006/customXml" ds:itemID="{ECF35B65-78EA-42ED-ADEA-0057F3BB7C1C}">
  <ds:schemaRefs/>
</ds:datastoreItem>
</file>

<file path=customXml/itemProps3.xml><?xml version="1.0" encoding="utf-8"?>
<ds:datastoreItem xmlns:ds="http://schemas.openxmlformats.org/officeDocument/2006/customXml" ds:itemID="{D47F517D-49D9-4CC3-83D4-8F161F167472}">
  <ds:schemaRefs>
    <ds:schemaRef ds:uri="http://schemas.microsoft.com/office/2006/metadata/properties"/>
    <ds:schemaRef ds:uri="a497d734-4801-40da-89ef-017d807fa2a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2bdb438-7d0f-4225-b594-ab5c81528ae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Journals</vt:lpstr>
      <vt:lpstr>Clinical Trials</vt:lpstr>
      <vt:lpstr>Guidelines</vt:lpstr>
      <vt:lpstr>Congresses</vt:lpstr>
      <vt:lpstr>Patient Organisations</vt:lpstr>
      <vt:lpstr>Professional Organisations</vt:lpstr>
      <vt:lpstr>Payor Drug Evaluation Groups</vt:lpstr>
      <vt:lpstr>Regulatory Agencies</vt:lpstr>
      <vt:lpstr>Center of Excellence</vt:lpstr>
      <vt:lpstr>Private Clinics</vt:lpstr>
      <vt:lpstr>Publications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2023-12-21T12:32:48Z</cp:lastPrinted>
  <dcterms:created xsi:type="dcterms:W3CDTF">2021-04-29T13:01:00Z</dcterms:created>
  <dcterms:modified xsi:type="dcterms:W3CDTF">2025-01-24T08:23:10Z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0x0101009A7EB3696C166B4E98EC7230A836A500</vt:lpwstr>
  </property>
  <property fmtid="{D5CDD505-2E9C-101B-9397-08002B2CF9AE}" pid="3" name="ICV">
    <vt:lpwstr>BC3018DFB21A4E708F9D18D7D97B5ED7_12</vt:lpwstr>
  </property>
  <property fmtid="{D5CDD505-2E9C-101B-9397-08002B2CF9AE}" pid="4" name="KSOProductBuildVer">
    <vt:lpwstr>1033-12.2.0.13266</vt:lpwstr>
  </property>
  <property fmtid="{D5CDD505-2E9C-101B-9397-08002B2CF9AE}" pid="5" name="MediaServiceImageTags">
    <vt:lpwstr/>
  </property>
  <property fmtid="{D5CDD505-2E9C-101B-9397-08002B2CF9AE}" pid="6" name="TaxKeyword">
    <vt:lpwstr/>
  </property>
</Properties>
</file>